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93"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ФХД'!$AX$66</definedName>
    <definedName name="B_FHD_CHECK_INDEX_2">'Показатели ФХД'!$AX$68</definedName>
    <definedName name="B_FHD_COSTS_INDEX_1">'Показатели ФХД'!$H$65:$AV$65</definedName>
    <definedName name="B_FHD_COSTS_INDEX_2">'Показатели ФХД'!$H$67:$AV$67</definedName>
    <definedName name="B_FHD_DATA_TOP80_ACTIVITY">'Показатели ФХД'!$H$87:$AV$87</definedName>
    <definedName name="B_FHD_diff_1">'Показатели ФХД'!$I$25:$I$27</definedName>
    <definedName name="B_FHD_FLAG_DIFFERENTIATION">'Показатели ФХД'!$H$24:$AV$24</definedName>
    <definedName name="B_FHD_FLAG_INDEX_1">'Показатели ФХД'!$H$66:$AV$66</definedName>
    <definedName name="B_FHD_FLAG_INDEX_2">'Показатели ФХД'!$H$68:$AV$68</definedName>
    <definedName name="B_FHD_TKO_DATA_TOP80_ACTIVITY">'ТКО. Показатели ФХД'!$H$45:$AV$45</definedName>
    <definedName name="B_FHD_TKO_diff_1">'ТКО. Показатели ФХД'!$I$10:$I$12</definedName>
    <definedName name="B_FHD_TKO_FLAG_DIFFERENTIATION">'ТКО. Показатели ФХД'!$H$9:$AV$9</definedName>
    <definedName name="B_FHD_TKO_TRANS_DATA_TOP80_ACTIVITY">'ТКО. Транс. Показатели ФХД'!$H$36:$AV$36</definedName>
    <definedName name="B_FHD_TKO_TRANS_diff_1">'ТКО. Транс. Показатели ФХД'!$I$10:$I$12</definedName>
    <definedName name="B_FHD_TKO_TRANS_FLAG_DIFFERENTIATION">'ТКО. Транс. Показатели ФХД'!$H$9:$AV$9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&gt;20%'!$D$13:$S$365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&gt;20%'!$V$11:$V$365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ОТЭП'!$L$9:$BA$9</definedName>
    <definedName name="B_OTEP_HEAT_DATA_TOP80_ACTIVITY">'Показатели ОТЭП'!$L$15:$BA$15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территорий'!$E$53:$I$53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Дифференциация!$I$12:$I$81</definedName>
    <definedName name="DIFFERENTIATION_AREA_ID">Дифференциация!$U$11:$U$82</definedName>
    <definedName name="DIFFERENTIATION_CheckC">Дифференциация!$D$12:$M$81</definedName>
    <definedName name="DIFFERENTIATION_fieldMarker">Дифференциация!$W$12:$W$81</definedName>
    <definedName name="DIFFERENTIATION_ID">TEHSHEET!$E$57</definedName>
    <definedName name="DIFFERENTIATION_ID_DIFF">Дифференциация!$O$12:$O$81</definedName>
    <definedName name="DIFFERENTIATION_SYSTEM">Дифференциация!$M$12:$M$81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Дифференциация!$Q$12:$Q$81</definedName>
    <definedName name="DIFFERENTIATION_UNMERGE_SYSTEM">Дифференциация!$R$12:$R$81</definedName>
    <definedName name="DIFFERENTIATION_UNMERGE_VD">Дифференциация!$P$12:$P$81</definedName>
    <definedName name="DIFFERENTIATION_VD">Дифференциация!$E$12:$E$81</definedName>
    <definedName name="DIFFERENTIATION_VD_ID">Дифференциация!$V$11:$V$82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Ограничения!$F$36:$CI$36</definedName>
    <definedName name="flag_Q_LIMIT_p4">Ограничения!$F$38:$CI$38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Детализация'!$A$575:$A$575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ИП!$I$11:$I$33</definedName>
    <definedName name="IP_MAIN_CHANGE_DATE">ИП!$J$11:$J$33</definedName>
    <definedName name="IP_MAIN_CLAIM">ИП!$K$11:$K$33</definedName>
    <definedName name="IP_MAIN_DATE_PARKING">ИП!$L$5</definedName>
    <definedName name="IP_MAIN_DELETE_HL_COLUMN_MARKER">ИП!$E$7</definedName>
    <definedName name="IP_MAIN_DIFFERENTIATION_EVENTS_FLAG">ИП!$H$11:$H$33</definedName>
    <definedName name="IP_MAIN_END_DATE">ИП!$O$11:$O$33</definedName>
    <definedName name="IP_MAIN_FLAG_KS">ИП!$Y$11:$Y$33</definedName>
    <definedName name="IP_MAIN_FLAG_KS_COLUMN_MARKER">ИП!$Y$7</definedName>
    <definedName name="IP_MAIN_IP_FIN_PLAN_VISIBLE_FLAG">ИП!$H$35</definedName>
    <definedName name="IP_MAIN_LIST_IP_ID">ИП!$AD$11:$AD$33</definedName>
    <definedName name="IP_MAIN_LIST_NAME_IP">ИП!$G$11:$G$33</definedName>
    <definedName name="IP_MAIN_PERIOD_REALIZ_DATE">ИП!$P$11:$P$33</definedName>
    <definedName name="IP_MAIN_PR_IP_CHANGE_DATE">ИП!$X$11:$X$33</definedName>
    <definedName name="IP_MAIN_PR_IP_DATE">ИП!$T$11:$T$33</definedName>
    <definedName name="IP_MAIN_PR_IP_NAME">ИП!$Q$11:$Q$33</definedName>
    <definedName name="IP_MAIN_PR_IP_NUMBER">ИП!$S$11:$S$33</definedName>
    <definedName name="IP_MAIN_PR_IP_TYPE">ИП!$R$11:$R$33</definedName>
    <definedName name="IP_MAIN_START_DATE">ИП!$N$11:$N$33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Дифференциация!$G$12:$G$81</definedName>
    <definedName name="pDel_DIFFERENTIATION_SYSTEM">Дифференциация!$K$12:$K$81</definedName>
    <definedName name="pDel_DIFFERENTIATION_VD">Дифференциация!$C$12:$C$81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ИП!$E$11:$E$33</definedName>
    <definedName name="pDel_IP_MAIN_PROPERTY">ИП!$Z$11:$Z$33</definedName>
    <definedName name="pDel_IP_QRE_CLAIM">'ИП. КНЭ'!$E$18:$E$20</definedName>
    <definedName name="pDel_List07">'Сведения об изменении'!$C$11:$C$13</definedName>
    <definedName name="pDel_LT_AREA">'Список территорий'!$C$12:$C$53</definedName>
    <definedName name="pDel_LT_MO">'Список территорий'!$D$11:$D$53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ФХД'!$AV$24</definedName>
    <definedName name="pIns_B_FHD_TKO_2">'ТКО. Показатели ФХД'!$F$34</definedName>
    <definedName name="pIns_B_FHD_TKO_DIFFERENTIATION">'ТКО. Показатели ФХД'!$AV$9</definedName>
    <definedName name="pIns_B_FHD_TKO_TRANS_2">'ТКО. Транс. Показатели ФХД'!$F$29</definedName>
    <definedName name="pIns_B_FHD_TKO_TRANS_DIFFERENTIATION">'ТКО. Транс. Показатели ФХД'!$AV$9</definedName>
    <definedName name="pIns_B_FHD20_DIFFERENTIATION">'Показатели ФХД &gt;20%'!$D$365</definedName>
    <definedName name="pIns_B_KNE_DIFFERENTIATION">'Показатели КНЭ'!$CI$6</definedName>
    <definedName name="pIns_B_OTEP_2">'Показатели ОТЭП'!$J$18</definedName>
    <definedName name="pIns_B_OTEP_DIFFERENTIATION">'Показатели ОТЭП'!$AZ$9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Детализация'!$F$575</definedName>
    <definedName name="pIns_IP_FIN_PLAN">'ИП. Финансовый план'!$DF$8</definedName>
    <definedName name="pIns_IP_MAIN">ИП!$G$33</definedName>
    <definedName name="pIns_IP_QRE">'ИП. КНЭ'!$F$51</definedName>
    <definedName name="pIns_List07">'Сведения об изменении'!$E$13</definedName>
    <definedName name="pIns_LT_AREA">'Список территорий'!$G$53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Ограничения!$CI$25</definedName>
    <definedName name="pIns_Q_PH_DIFFERENTIATION">'Потребительские характеристики'!$CI$8</definedName>
    <definedName name="pIns_Q_TP_1">ТП!$E$22</definedName>
    <definedName name="pIns_Q_TP_DIFFERENTIATION">ТП!$AU$8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Ограничения!$CI$26</definedName>
    <definedName name="pNote_Q_PH">'Потребительские характеристики'!$CI$9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Ограничения!$E$32:$CI$39</definedName>
    <definedName name="Q_LIMIT_diff_1">Ограничения!$I$26:$J$28</definedName>
    <definedName name="Q_LIMIT_p3">Ограничения!$F$36:$CI$37</definedName>
    <definedName name="Q_LIMIT_p4">Ограничения!$F$38:$CI$39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ФХД'!$AV$137</definedName>
    <definedName name="tblEnd_1_B_FHD_TKO">'ТКО. Показатели ФХД'!$AV$49</definedName>
    <definedName name="tblEnd_1_B_FHD_TKO_TRANS">'ТКО. Транс. Показатели ФХД'!$AV$43</definedName>
    <definedName name="tblEnd_1_B_KNE">'Показатели КНЭ'!$J$101</definedName>
    <definedName name="tblEnd_1_B_OTEP">'Показатели ОТЭП'!$AZ$34</definedName>
    <definedName name="tblEnd_1_B_STANDARTS">'Стандарты качества'!$L$13</definedName>
    <definedName name="tblEnd_1_CHANGE_INFO">'Сведения об изменении'!$E$14</definedName>
    <definedName name="tblEnd_1_DIFFERENTIATION">Дифференциация!$M$82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Детализация'!$AH$575</definedName>
    <definedName name="tblEnd_1_IP_FIN_PLAN">'ИП. Финансовый план'!$DF$58</definedName>
    <definedName name="tblEnd_1_IP_MAIN">ИП!$AB$34</definedName>
    <definedName name="tblEnd_1_IP_QRE">'ИП. КНЭ'!$FX$51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Ограничения!$CI$40</definedName>
    <definedName name="tblEnd_1_Q_PH">'Потребительские характеристики'!$CI$21</definedName>
    <definedName name="tblEnd_1_Q_TP">ТП!$AU$23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территорий'!$E$11:$I$53</definedName>
    <definedName name="TERRITORY_ID">TEHSHEET!$E$56</definedName>
    <definedName name="TERRITORY_LIST_ID">'Список территорий'!$F$11:$F$53</definedName>
    <definedName name="TERRITORY_MO_LIST">'Список территорий'!$H$11:$H$53</definedName>
    <definedName name="TERRITORY_MR_LIST">'Список территорий'!$G$11:$G$53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Дифференциация!$F$12:$F$81</definedName>
    <definedName name="Y_N_DIFFERENTIATION_SYSTEM">Дифференциация!$J$12:$J$81</definedName>
    <definedName name="YEAR_IP_LIST">TEHSHEET!$BE$2:$BE$74</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территорий'!$G$35:$I$38</definedName>
    <definedName name="ter_51111111">'Список территорий'!$G$41:$I$42</definedName>
    <definedName name="ter_511111111">'Список территорий'!$G$45:$I$45</definedName>
    <definedName name="ter_5111111111">'Список территорий'!$G$48:$I$48</definedName>
    <definedName name="ter_51111111111">'Список территорий'!$G$51:$I$51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1">'Потребительские характеристики'!$BS$9:$BT$11</definedName>
    <definedName name="Q_TP_diff_51111111111111111111111111111111">ТП!$AM$9:$AM$11</definedName>
    <definedName name="Q_Limit_diff_51111111111111111111111111111111">Ограничения!$BS$26:$BT$28</definedName>
    <definedName name="B_FHD_diff_51111111111111111111111111111111">'Показатели ФХД'!$AN$25:$AN$27</definedName>
    <definedName name="B_OTEP_diff_51111111111111111111111111111111">'Показатели ОТЭП'!$AR$10:$AR$12</definedName>
    <definedName name="B_FHD20_diff_51111111111111111111111111111111">'Показатели ФХД &gt;20%'!$H$293:$R$295</definedName>
    <definedName name="B_KNE_diff_51111111111111111111111111111111">'Показатели КНЭ'!$BS$7:$BT$9</definedName>
    <definedName name="B_FHD_TKO_diff_51111111111111111111111111111111">'ТКО. Показатели ФХД'!$AN$10:$AN$12</definedName>
    <definedName name="B_FHD_TKO_TRANS_diff_51111111111111111111111111111111">'ТКО. Транс. Показатели ФХД'!$AN$10:$AN$12</definedName>
    <definedName name="Q_PH_diff_511111111111111111111111111111111">'Потребительские характеристики'!$BU$9:$BV$11</definedName>
    <definedName name="Q_TP_diff_511111111111111111111111111111111">ТП!$AN$9:$AN$11</definedName>
    <definedName name="Q_Limit_diff_511111111111111111111111111111111">Ограничения!$BU$26:$BV$28</definedName>
    <definedName name="B_FHD_diff_511111111111111111111111111111111">'Показатели ФХД'!$AO$25:$AO$27</definedName>
    <definedName name="B_OTEP_diff_511111111111111111111111111111111">'Показатели ОТЭП'!$AS$10:$AS$12</definedName>
    <definedName name="B_FHD20_diff_511111111111111111111111111111111">'Показатели ФХД &gt;20%'!$H$302:$R$304</definedName>
    <definedName name="B_KNE_diff_511111111111111111111111111111111">'Показатели КНЭ'!$BU$7:$BV$9</definedName>
    <definedName name="B_FHD_TKO_diff_511111111111111111111111111111111">'ТКО. Показатели ФХД'!$AO$10:$AO$12</definedName>
    <definedName name="B_FHD_TKO_TRANS_diff_511111111111111111111111111111111">'ТКО. Транс. Показатели ФХД'!$AO$10:$AO$12</definedName>
    <definedName name="Q_PH_diff_51111111111111111111111111111111111">'Потребительские характеристики'!$BW$9:$BX$11</definedName>
    <definedName name="Q_TP_diff_51111111111111111111111111111111111">ТП!$AO$9:$AO$11</definedName>
    <definedName name="Q_Limit_diff_51111111111111111111111111111111111">Ограничения!$BW$26:$BX$28</definedName>
    <definedName name="B_FHD_diff_51111111111111111111111111111111111">'Показатели ФХД'!$AP$25:$AP$27</definedName>
    <definedName name="B_OTEP_diff_51111111111111111111111111111111111">'Показатели ОТЭП'!$AT$10:$AT$12</definedName>
    <definedName name="B_FHD20_diff_51111111111111111111111111111111111">'Показатели ФХД &gt;20%'!$H$311:$R$313</definedName>
    <definedName name="B_KNE_diff_51111111111111111111111111111111111">'Показатели КНЭ'!$BW$7:$BX$9</definedName>
    <definedName name="B_FHD_TKO_diff_51111111111111111111111111111111111">'ТКО. Показатели ФХД'!$AP$10:$AP$12</definedName>
    <definedName name="B_FHD_TKO_TRANS_diff_51111111111111111111111111111111111">'ТКО. Транс. Показатели ФХД'!$AP$10:$AP$12</definedName>
    <definedName name="Q_PH_diff_5111111111111111111111111111111111111">'Потребительские характеристики'!$BY$9:$BZ$11</definedName>
    <definedName name="Q_TP_diff_5111111111111111111111111111111111111">ТП!$AP$9:$AP$11</definedName>
    <definedName name="Q_Limit_diff_5111111111111111111111111111111111111">Ограничения!$BY$26:$BZ$28</definedName>
    <definedName name="B_FHD_diff_5111111111111111111111111111111111111">'Показатели ФХД'!$AQ$25:$AQ$27</definedName>
    <definedName name="B_OTEP_diff_5111111111111111111111111111111111111">'Показатели ОТЭП'!$AU$10:$AU$12</definedName>
    <definedName name="B_FHD20_diff_5111111111111111111111111111111111111">'Показатели ФХД &gt;20%'!$H$320:$R$322</definedName>
    <definedName name="B_KNE_diff_5111111111111111111111111111111111111">'Показатели КНЭ'!$BY$7:$BZ$9</definedName>
    <definedName name="B_FHD_TKO_diff_5111111111111111111111111111111111111">'ТКО. Показатели ФХД'!$AQ$10:$AQ$12</definedName>
    <definedName name="B_FHD_TKO_TRANS_diff_5111111111111111111111111111111111111">'ТКО. Транс. Показатели ФХД'!$AQ$10:$AQ$12</definedName>
    <definedName name="Q_PH_diff_51111111111111111111111111111111111111">'Потребительские характеристики'!$CA$9:$CB$11</definedName>
    <definedName name="Q_TP_diff_51111111111111111111111111111111111111">ТП!$AQ$9:$AQ$11</definedName>
    <definedName name="Q_Limit_diff_51111111111111111111111111111111111111">Ограничения!$CA$26:$CB$28</definedName>
    <definedName name="B_FHD_diff_51111111111111111111111111111111111111">'Показатели ФХД'!$AR$25:$AR$27</definedName>
    <definedName name="B_OTEP_diff_51111111111111111111111111111111111111">'Показатели ОТЭП'!$AV$10:$AV$12</definedName>
    <definedName name="B_FHD20_diff_51111111111111111111111111111111111111">'Показатели ФХД &gt;20%'!$H$329:$R$331</definedName>
    <definedName name="B_KNE_diff_51111111111111111111111111111111111111">'Показатели КНЭ'!$CA$7:$CB$9</definedName>
    <definedName name="B_FHD_TKO_diff_51111111111111111111111111111111111111">'ТКО. Показатели ФХД'!$AR$10:$AR$12</definedName>
    <definedName name="B_FHD_TKO_TRANS_diff_51111111111111111111111111111111111111">'ТКО. Транс. Показатели ФХД'!$AR$10:$AR$12</definedName>
    <definedName name="Q_PH_diff_511111111111111111111111111111111111111">'Потребительские характеристики'!$CC$9:$CD$11</definedName>
    <definedName name="Q_TP_diff_511111111111111111111111111111111111111">ТП!$AR$9:$AR$11</definedName>
    <definedName name="Q_Limit_diff_511111111111111111111111111111111111111">Ограничения!$CC$26:$CD$28</definedName>
    <definedName name="B_FHD_diff_511111111111111111111111111111111111111">'Показатели ФХД'!$AS$25:$AS$27</definedName>
    <definedName name="B_OTEP_diff_511111111111111111111111111111111111111">'Показатели ОТЭП'!$AW$10:$AW$12</definedName>
    <definedName name="B_FHD20_diff_511111111111111111111111111111111111111">'Показатели ФХД &gt;20%'!$H$338:$R$340</definedName>
    <definedName name="B_KNE_diff_511111111111111111111111111111111111111">'Показатели КНЭ'!$CC$7:$CD$9</definedName>
    <definedName name="B_FHD_TKO_diff_511111111111111111111111111111111111111">'ТКО. Показатели ФХД'!$AS$10:$AS$12</definedName>
    <definedName name="B_FHD_TKO_TRANS_diff_511111111111111111111111111111111111111">'ТКО. Транс. Показатели ФХД'!$AS$10:$AS$12</definedName>
    <definedName name="Q_PH_diff_5111111111111111111111111111111111111111">'Потребительские характеристики'!$CE$9:$CF$11</definedName>
    <definedName name="Q_TP_diff_5111111111111111111111111111111111111111">ТП!$AS$9:$AS$11</definedName>
    <definedName name="Q_Limit_diff_5111111111111111111111111111111111111111">Ограничения!$CE$26:$CF$28</definedName>
    <definedName name="B_FHD_diff_5111111111111111111111111111111111111111">'Показатели ФХД'!$AT$25:$AT$27</definedName>
    <definedName name="B_OTEP_diff_5111111111111111111111111111111111111111">'Показатели ОТЭП'!$AX$10:$AX$12</definedName>
    <definedName name="B_FHD20_diff_5111111111111111111111111111111111111111">'Показатели ФХД &gt;20%'!$H$347:$R$349</definedName>
    <definedName name="B_KNE_diff_5111111111111111111111111111111111111111">'Показатели КНЭ'!$CE$7:$CF$9</definedName>
    <definedName name="B_FHD_TKO_diff_5111111111111111111111111111111111111111">'ТКО. Показатели ФХД'!$AT$10:$AT$12</definedName>
    <definedName name="B_FHD_TKO_TRANS_diff_5111111111111111111111111111111111111111">'ТКО. Транс. Показатели ФХД'!$AT$10:$AT$12</definedName>
    <definedName name="Q_PH_diff_51111111111111111111111111111111111111111">'Потребительские характеристики'!$CG$9:$CH$11</definedName>
    <definedName name="Q_TP_diff_51111111111111111111111111111111111111111">ТП!$AT$9:$AT$11</definedName>
    <definedName name="Q_Limit_diff_51111111111111111111111111111111111111111">Ограничения!$CG$26:$CH$28</definedName>
    <definedName name="B_FHD_diff_51111111111111111111111111111111111111111">'Показатели ФХД'!$AU$25:$AU$27</definedName>
    <definedName name="B_OTEP_diff_51111111111111111111111111111111111111111">'Показатели ОТЭП'!$AY$10:$AY$12</definedName>
    <definedName name="B_FHD20_diff_51111111111111111111111111111111111111111">'Показатели ФХД &gt;20%'!$H$356:$R$358</definedName>
    <definedName name="B_KNE_diff_51111111111111111111111111111111111111111">'Показатели КНЭ'!$CG$7:$CH$9</definedName>
    <definedName name="B_FHD_TKO_diff_51111111111111111111111111111111111111111">'ТКО. Показатели ФХД'!$AU$10:$AU$12</definedName>
    <definedName name="B_FHD_TKO_TRANS_diff_51111111111111111111111111111111111111111">'ТКО. Транс. Показатели ФХД'!$AU$10:$AU$12</definedName>
    <definedName name="DESCRIPTION_TERRITORY">REESTR_DS!$B$2:$B$13</definedName>
    <definedName name="REESTR_IP_RANGE">REESTR_IP!$A$2:$I$27</definedName>
    <definedName name="IP_MAIN_ip_5">ИП!$13:$14</definedName>
    <definedName name="IP_QRE_ip_5">'ИП. КНЭ'!$21:$23</definedName>
    <definedName name="IP_DETAILED_ip_5">'ИП. Детализация'!$14:$81</definedName>
    <definedName name="IP_FIN_PLAN_ip_5">'ИП. Финансовый план'!$K$11:$S$11</definedName>
    <definedName name="IP_MAIN_ip_51">ИП!#REF!</definedName>
    <definedName name="IP_QRE_ip_51">'ИП. КНЭ'!#REF!</definedName>
    <definedName name="IP_DETAILED_ip_51">'ИП. Детализация'!#REF!</definedName>
    <definedName name="IP_FIN_PLAN_ip_51">'ИП. Финансовый план'!#REF!</definedName>
    <definedName name="IP_MAIN_ip_511">ИП!$15:$16</definedName>
    <definedName name="IP_QRE_ip_511">'ИП. КНЭ'!$24:$26</definedName>
    <definedName name="IP_DETAILED_ip_511">'ИП. Детализация'!$82:$147</definedName>
    <definedName name="IP_FIN_PLAN_ip_511">'ИП. Финансовый план'!$T$11:$AE$11</definedName>
    <definedName name="IP_MAIN_ip_5111">ИП!$17:$18</definedName>
    <definedName name="IP_QRE_ip_5111">'ИП. КНЭ'!$27:$29</definedName>
    <definedName name="IP_DETAILED_ip_5111">'ИП. Детализация'!$148:$219</definedName>
    <definedName name="IP_FIN_PLAN_ip_5111">'ИП. Финансовый план'!$AF$11:$AR$11</definedName>
    <definedName name="IP_MAIN_ip_51111">ИП!$19:$20</definedName>
    <definedName name="IP_QRE_ip_51111">'ИП. КНЭ'!$30:$32</definedName>
    <definedName name="IP_DETAILED_ip_51111">'ИП. Детализация'!$220:$273</definedName>
    <definedName name="IP_FIN_PLAN_ip_51111">'ИП. Финансовый план'!$AS$11:$BB$11</definedName>
    <definedName name="IP_MAIN_ip_511111">ИП!$21:$22</definedName>
    <definedName name="IP_QRE_ip_511111">'ИП. КНЭ'!$33:$35</definedName>
    <definedName name="IP_DETAILED_ip_511111">'ИП. Детализация'!$274:$327</definedName>
    <definedName name="IP_FIN_PLAN_ip_511111">'ИП. Финансовый план'!$BC$11:$BL$11</definedName>
    <definedName name="IP_MAIN_ip_5111111">ИП!$23:$24</definedName>
    <definedName name="IP_QRE_ip_5111111">'ИП. КНЭ'!$36:$38</definedName>
    <definedName name="IP_DETAILED_ip_5111111">'ИП. Детализация'!$328:$381</definedName>
    <definedName name="IP_FIN_PLAN_ip_5111111">'ИП. Финансовый план'!$BM$11:$BV$11</definedName>
    <definedName name="IP_MAIN_ip_51111111">ИП!$25:$26</definedName>
    <definedName name="IP_QRE_ip_51111111">'ИП. КНЭ'!$39:$41</definedName>
    <definedName name="IP_DETAILED_ip_51111111">'ИП. Детализация'!$382:$441</definedName>
    <definedName name="IP_FIN_PLAN_ip_51111111">'ИП. Финансовый план'!$BW$11:$CG$11</definedName>
    <definedName name="IP_MAIN_ip_511111111">ИП!$27:$28</definedName>
    <definedName name="IP_QRE_ip_511111111">'ИП. КНЭ'!$42:$44</definedName>
    <definedName name="IP_DETAILED_ip_511111111">'ИП. Детализация'!$442:$495</definedName>
    <definedName name="IP_FIN_PLAN_ip_511111111">'ИП. Финансовый план'!$CH$11:$CQ$11</definedName>
    <definedName name="IP_MAIN_ip_5111111111">ИП!$29:$30</definedName>
    <definedName name="IP_QRE_ip_5111111111">'ИП. КНЭ'!$45:$47</definedName>
    <definedName name="IP_DETAILED_ip_5111111111">'ИП. Детализация'!$496:$520</definedName>
    <definedName name="IP_FIN_PLAN_ip_5111111111">'ИП. Финансовый план'!$CR$11:$CV$11</definedName>
    <definedName name="IP_MAIN_ip_51111111111">ИП!$31:$32</definedName>
    <definedName name="IP_QRE_ip_51111111111">'ИП. КНЭ'!$48:$50</definedName>
    <definedName name="IP_DETAILED_ip_51111111111">'ИП. Детализация'!$521:$574</definedName>
    <definedName name="IP_FIN_PLAN_ip_51111111111">'ИП. Финансовый план'!$CW$11:$DE$11</definedName>
    <definedName name="IP_MAIN_ip_511111111111">ИП!#REF!</definedName>
    <definedName name="IP_QRE_ip_511111111111">'ИП. КНЭ'!#REF!</definedName>
    <definedName name="IP_DETAILED_ip_511111111111">'ИП. Детализация'!#REF!</definedName>
    <definedName name="IP_FIN_PLAN_ip_511111111111">'ИП. Финансовый план'!#REF!</definedName>
    <definedName name="REESTR_INFR_RANGE">REESTR_OBJ_INFR!$A$2:$AK$231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<sst xmlns="http://schemas.openxmlformats.org/spreadsheetml/2006/main" count="28654" uniqueCount="4505">
  <si>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</si>
  <si>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</si>
  <si>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</si>
  <si>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</si>
  <si>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</si>
  <si>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</si>
  <si>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</si>
  <si>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</si>
  <si>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</si>
  <si>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</si>
  <si>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</si>
  <si>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</si>
  <si>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</si>
  <si>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</si>
  <si>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</si>
  <si>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</si>
  <si>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</si>
  <si>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</si>
  <si>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</si>
  <si>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</si>
  <si>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</si>
  <si>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</si>
  <si>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</si>
  <si>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</si>
  <si>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</si>
  <si>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</si>
  <si>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</si>
  <si>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</si>
  <si>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</si>
  <si>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</si>
  <si>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</si>
  <si>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</si>
  <si>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</si>
  <si>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</si>
  <si>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</si>
  <si>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</si>
  <si>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</si>
  <si>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</si>
  <si>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</si>
  <si>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</si>
  <si>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</si>
  <si>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</si>
  <si>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</si>
  <si>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</si>
  <si>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</si>
  <si>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</si>
  <si>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</si>
  <si>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</si>
  <si>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</si>
  <si>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</si>
  <si>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</si>
  <si>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</si>
  <si>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</si>
  <si>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</si>
  <si>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</si>
  <si>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</si>
  <si>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</si>
  <si>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</si>
  <si>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</si>
  <si>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</si>
  <si>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</si>
  <si>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</si>
  <si>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</si>
  <si>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</si>
  <si>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</si>
  <si>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</si>
  <si>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</si>
  <si>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</si>
  <si>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</si>
  <si>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</si>
  <si>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</si>
  <si>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</si>
  <si>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</si>
  <si>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</si>
  <si>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</si>
  <si>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</si>
  <si>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</si>
  <si>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</si>
  <si>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</si>
  <si>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</si>
  <si>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</si>
  <si>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</si>
  <si>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</si>
  <si>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</si>
  <si>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</si>
  <si>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</si>
  <si>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</si>
  <si>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</si>
  <si>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</si>
  <si>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</si>
  <si>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</si>
  <si>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</si>
  <si>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</si>
  <si>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</si>
  <si>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</si>
  <si>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</si>
  <si>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</si>
  <si>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</si>
  <si>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</si>
  <si>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Хасанский муниципальный округ</t>
  </si>
  <si>
    <t>05548000</t>
  </si>
  <si>
    <t>Добавить МО</t>
  </si>
  <si>
    <t>2</t>
  </si>
  <si>
    <t>×</t>
  </si>
  <si>
    <t>ter_5</t>
  </si>
  <si>
    <t>1</t>
  </si>
  <si>
    <t>Анучинский муниципальный округ</t>
  </si>
  <si>
    <t>05502000</t>
  </si>
  <si>
    <t>ter_51</t>
  </si>
  <si>
    <t>93</t>
  </si>
  <si>
    <t>Шкотовский муниципальный район</t>
  </si>
  <si>
    <t>Романовское сельское поселение</t>
  </si>
  <si>
    <t>05657425</t>
  </si>
  <si>
    <t>98</t>
  </si>
  <si>
    <t>Штыковское сельское поселение</t>
  </si>
  <si>
    <t>05657432</t>
  </si>
  <si>
    <t>ter_511</t>
  </si>
  <si>
    <t>107</t>
  </si>
  <si>
    <t>городской округ ЗАТО Фокино</t>
  </si>
  <si>
    <t>05747000</t>
  </si>
  <si>
    <t>5</t>
  </si>
  <si>
    <t>ter_5111</t>
  </si>
  <si>
    <t>45</t>
  </si>
  <si>
    <t>Михайловский муниципальный район</t>
  </si>
  <si>
    <t>Новошахтинское городское поселение</t>
  </si>
  <si>
    <t>05620154</t>
  </si>
  <si>
    <t>ter_51111</t>
  </si>
  <si>
    <t>Дальнегорский городской округ</t>
  </si>
  <si>
    <t>05707000</t>
  </si>
  <si>
    <t>ter_511111</t>
  </si>
  <si>
    <t>16</t>
  </si>
  <si>
    <t>Кавалеровский муниципальный округ</t>
  </si>
  <si>
    <t>05510000</t>
  </si>
  <si>
    <t>8</t>
  </si>
  <si>
    <t>ter_5111111</t>
  </si>
  <si>
    <t>81</t>
  </si>
  <si>
    <t>Черниговский муниципальный округ</t>
  </si>
  <si>
    <t>05553000</t>
  </si>
  <si>
    <t>82</t>
  </si>
  <si>
    <t>Черниговский муниципальный район</t>
  </si>
  <si>
    <t>Дмитриевское сельское поселение</t>
  </si>
  <si>
    <t>05653410</t>
  </si>
  <si>
    <t>84</t>
  </si>
  <si>
    <t>Реттиховское городское поселение</t>
  </si>
  <si>
    <t>05653422</t>
  </si>
  <si>
    <t>86</t>
  </si>
  <si>
    <t>Снегуровское</t>
  </si>
  <si>
    <t>05653419</t>
  </si>
  <si>
    <t>9</t>
  </si>
  <si>
    <t>ter_51111111</t>
  </si>
  <si>
    <t>Городской округ Спасск-Дальний</t>
  </si>
  <si>
    <t>05720000</t>
  </si>
  <si>
    <t>72</t>
  </si>
  <si>
    <t>Спасский муниципальный район</t>
  </si>
  <si>
    <t>05637000</t>
  </si>
  <si>
    <t>10</t>
  </si>
  <si>
    <t>ter_511111111</t>
  </si>
  <si>
    <t>28</t>
  </si>
  <si>
    <t>Красноармейский муниципальный район</t>
  </si>
  <si>
    <t>Глубинненское</t>
  </si>
  <si>
    <t>05614408</t>
  </si>
  <si>
    <t>11</t>
  </si>
  <si>
    <t>ter_5111111111</t>
  </si>
  <si>
    <t>Дальнереченский городской округ</t>
  </si>
  <si>
    <t>05708000</t>
  </si>
  <si>
    <t>12</t>
  </si>
  <si>
    <t>ter_51111111111</t>
  </si>
  <si>
    <t>100</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</si>
  <si>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</si>
  <si>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</si>
  <si>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</si>
  <si>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</si>
  <si>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</si>
  <si>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</si>
  <si>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</si>
  <si>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</si>
  <si>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</si>
  <si>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</si>
  <si>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</si>
  <si>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</si>
  <si>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</si>
  <si>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Централизованная система водоснабжения Барабашского сельского поселения</t>
  </si>
  <si>
    <t>diff_1</t>
  </si>
  <si>
    <t>4189671</t>
  </si>
  <si>
    <t>a</t>
  </si>
  <si>
    <t>Централизованная система водоснабжения Барабашского сельского поселения.Военный городок</t>
  </si>
  <si>
    <t>diff_5111</t>
  </si>
  <si>
    <t>Централизованная система водоснабжения Безверховского сельского поселения</t>
  </si>
  <si>
    <t>diff_51111</t>
  </si>
  <si>
    <t>Централизованная система водоснабжения Краскинского городского поселения</t>
  </si>
  <si>
    <t>diff_511111</t>
  </si>
  <si>
    <t>Централизованная система водоснабжения Посьетского городского поселения</t>
  </si>
  <si>
    <t>diff_5111111</t>
  </si>
  <si>
    <t>Централизованная система водоснабжения Приморского городского поселения</t>
  </si>
  <si>
    <t>diff_51111111</t>
  </si>
  <si>
    <t>Централизованная система водоснабжения пгт.Зарубино Хасанского муниципального округа</t>
  </si>
  <si>
    <t>diff_511111111</t>
  </si>
  <si>
    <t>Централизованная система водоснабжения пгт. Хасан Хасанского муниципального округа</t>
  </si>
  <si>
    <t>diff_5111111111</t>
  </si>
  <si>
    <t>Добавить централизованную систему</t>
  </si>
  <si>
    <t>Централизованная система водоснабжения Анучинского сельского поселения</t>
  </si>
  <si>
    <t>diff_51111111111</t>
  </si>
  <si>
    <t>Централизованная система водоснабжения Романовского сельского поселения</t>
  </si>
  <si>
    <t>diff_511111111111</t>
  </si>
  <si>
    <t>Централизованная система водоснабжения Штыковского сельского поселения</t>
  </si>
  <si>
    <t>diff_5111111111111111111111</t>
  </si>
  <si>
    <t>Централизованная система водоснабжения городского округа ЗАТО город Фокино</t>
  </si>
  <si>
    <t>diff_5111111111111</t>
  </si>
  <si>
    <t>Централизованная система водоснабжения городского округа ЗАТО город Фокино (п.Путятин)</t>
  </si>
  <si>
    <t>diff_51111111111111111111111</t>
  </si>
  <si>
    <t>Централизованная система водоснабжения Новошахтинского городского поселения</t>
  </si>
  <si>
    <t>diff_51111111111111</t>
  </si>
  <si>
    <t>Централизованная система водоснабжения Дальнегорского городского округа</t>
  </si>
  <si>
    <t>diff_511111111111111</t>
  </si>
  <si>
    <t>Централизованная система водоснабжения Кавалеровского муниципального района</t>
  </si>
  <si>
    <t>diff_5111111111111111</t>
  </si>
  <si>
    <t>Централизованная система водоснабжения Дмитриевского сельского поселения</t>
  </si>
  <si>
    <t>diff_51111111111111111</t>
  </si>
  <si>
    <t>Централизованная система водоснабжения Реттиховского сельского поселения</t>
  </si>
  <si>
    <t>diff_511111111111111111111111</t>
  </si>
  <si>
    <t xml:space="preserve">Централизованная система водоснабжения Снегуровского сельского поселения </t>
  </si>
  <si>
    <t>diff_5111111111111111111111111</t>
  </si>
  <si>
    <t>Централизованная система водоснабжения Черниговского сельского поселения</t>
  </si>
  <si>
    <t>diff_51111111111111111111111111</t>
  </si>
  <si>
    <t>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t>
  </si>
  <si>
    <t>diff_511111111111111111</t>
  </si>
  <si>
    <t>Централизованная система водоснабжения городского округа Спасск-Дальний МКР Лазо</t>
  </si>
  <si>
    <t>diff_511111111111111111111111111</t>
  </si>
  <si>
    <t>Централизованная система водоснабжения Глубинненского сельского поселения</t>
  </si>
  <si>
    <t>diff_5111111111111111111</t>
  </si>
  <si>
    <t>Централизованная система водоснабжения  Дальнереченского городского округа</t>
  </si>
  <si>
    <t>diff_51111111111111111111</t>
  </si>
  <si>
    <t>Централизованная система водоснабжения  Дальнереченского городского округа (в.г.Графский)</t>
  </si>
  <si>
    <t>diff_5111111111111111111111111111</t>
  </si>
  <si>
    <t>Централизованная истема водоснабжения Варфоломеевского сельского поселения (железнодорожная станция Варфоломеевка)</t>
  </si>
  <si>
    <t>diff_511111111111111111111</t>
  </si>
  <si>
    <t>Добавить описание территории</t>
  </si>
  <si>
    <t>Черниговский МР</t>
  </si>
  <si>
    <t>diff_5</t>
  </si>
  <si>
    <t>4189677</t>
  </si>
  <si>
    <t>diff_51111111111111111111111111111</t>
  </si>
  <si>
    <t>Дальнегорский ГО</t>
  </si>
  <si>
    <t>diff_511111111111111111111111111111</t>
  </si>
  <si>
    <t>Кавалеровский МО</t>
  </si>
  <si>
    <t>diff_51111111111111111111111111111111</t>
  </si>
  <si>
    <t>Дальнереченский ГО</t>
  </si>
  <si>
    <t>diff_511111111111111111111111111111111</t>
  </si>
  <si>
    <t>пгт Посьет Хасанский муниципальный округ</t>
  </si>
  <si>
    <t>diff_51111111111111111111111111111111111</t>
  </si>
  <si>
    <t xml:space="preserve"> Городской округ Спасск-Дальний, Городской округ Спасск-Дальний (05720000)</t>
  </si>
  <si>
    <t>diff_51</t>
  </si>
  <si>
    <t>4189672</t>
  </si>
  <si>
    <t>Анучинский муниципальный округ, Анучинский муниципальный округ (05502000)</t>
  </si>
  <si>
    <t>diff_511</t>
  </si>
  <si>
    <t>4189673</t>
  </si>
  <si>
    <t>Кавалеровский муниципальный район, Кавалеровкое городское поселение (05610151)</t>
  </si>
  <si>
    <t>diff_5111111111111111111111111111111111111</t>
  </si>
  <si>
    <t xml:space="preserve"> Михайловский муниципальный район, Новошахтинское городское поселение (05620154)</t>
  </si>
  <si>
    <t>diff_51111111111111111111111111111111111111</t>
  </si>
  <si>
    <t>Городской округ ЗАТО г.Фокино (пгт. Путятин)</t>
  </si>
  <si>
    <t>diff_511111111111111111111111111111111111111</t>
  </si>
  <si>
    <t xml:space="preserve"> Черниговский муниципальный район, Черниговское сельское поселение (05653425)</t>
  </si>
  <si>
    <t>diff_5111111111111111111111111111111111111111</t>
  </si>
  <si>
    <t xml:space="preserve"> Дальнегорский городской округ, Дальнегорский городской округ (05707000)</t>
  </si>
  <si>
    <t>diff_51111111111111111111111111111111111111111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</si>
  <si>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</si>
  <si>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</si>
  <si>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</si>
  <si>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</si>
  <si>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</si>
  <si>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</si>
  <si>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</si>
  <si>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</si>
  <si>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</si>
  <si>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</si>
  <si>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</si>
  <si>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</si>
  <si>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</si>
  <si>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</si>
  <si>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</si>
  <si>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</si>
  <si>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</si>
  <si>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</si>
  <si>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</si>
  <si>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</si>
  <si>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</si>
  <si>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</si>
  <si>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</si>
  <si>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</si>
  <si>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</si>
  <si>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</si>
  <si>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</si>
  <si>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</si>
  <si>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</si>
  <si>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</si>
  <si>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</si>
  <si>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</si>
  <si>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</si>
  <si>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</si>
  <si>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</si>
  <si>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</si>
  <si>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</si>
  <si>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</si>
  <si>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</si>
  <si>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</si>
  <si>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</si>
  <si>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</si>
  <si>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</si>
  <si>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</si>
  <si>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</si>
  <si>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</si>
  <si>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</si>
  <si>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</si>
  <si>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</si>
  <si>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</si>
  <si>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</si>
  <si>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</si>
  <si>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</si>
  <si>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</si>
  <si>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</si>
  <si>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</si>
  <si>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</si>
  <si>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</si>
  <si>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</si>
  <si>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</si>
  <si>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</si>
  <si>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</si>
  <si>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</si>
  <si>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</si>
  <si>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</si>
  <si>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</si>
  <si>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</si>
  <si>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</si>
  <si>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</si>
  <si>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</si>
  <si>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</si>
  <si>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</si>
  <si>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</si>
  <si>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</si>
  <si>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</si>
  <si>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</si>
  <si>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</si>
  <si>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</si>
  <si>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</si>
  <si>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</si>
  <si>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</si>
  <si>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</si>
  <si>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</si>
  <si>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</si>
  <si>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</si>
  <si>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</si>
  <si>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</si>
  <si>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</si>
  <si>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</si>
  <si>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</si>
  <si>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</si>
  <si>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</si>
  <si>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</si>
  <si>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</si>
  <si>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</si>
  <si>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</si>
  <si>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</si>
  <si>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</si>
  <si>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</si>
  <si>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</si>
  <si>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</si>
  <si>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</si>
  <si>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</si>
  <si>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</si>
  <si>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</si>
  <si>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</si>
  <si>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</si>
  <si>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</si>
  <si>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</si>
  <si>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</si>
  <si>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</si>
  <si>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</si>
  <si>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</si>
  <si>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</si>
  <si>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</si>
  <si>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</si>
  <si>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</si>
  <si>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</si>
  <si>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</si>
  <si>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</si>
  <si>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</si>
  <si>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</si>
  <si>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</si>
  <si>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</si>
  <si>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</si>
  <si>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</si>
  <si>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</si>
  <si>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</si>
  <si>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</si>
  <si>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</si>
  <si>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</si>
  <si>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</si>
  <si>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</si>
  <si>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</si>
  <si>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</si>
  <si>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</si>
  <si>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</si>
  <si>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</si>
  <si>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</si>
  <si>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</si>
  <si>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</si>
  <si>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</si>
  <si>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</si>
  <si>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</si>
  <si>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</si>
  <si>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</si>
  <si>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</si>
  <si>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</si>
  <si>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</si>
  <si>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</si>
  <si>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</si>
  <si>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</si>
  <si>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</si>
  <si>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</si>
  <si>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</si>
  <si>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</si>
  <si>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</si>
  <si>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</si>
  <si>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</si>
  <si>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</si>
  <si>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</si>
  <si>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</si>
  <si>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</si>
  <si>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</si>
  <si>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</si>
  <si>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</si>
  <si>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</si>
  <si>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</si>
  <si>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</si>
  <si>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</si>
  <si>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</si>
  <si>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</si>
  <si>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</si>
  <si>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</si>
  <si>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</si>
  <si>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</si>
  <si>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</si>
  <si>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</si>
  <si>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</si>
  <si>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</si>
  <si>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</si>
  <si>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</si>
  <si>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</si>
  <si>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</si>
  <si>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</si>
  <si>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</si>
  <si>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</si>
  <si>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</si>
  <si>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</si>
  <si>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</si>
  <si>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</si>
  <si>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</si>
  <si>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</si>
  <si>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</si>
  <si>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</si>
  <si>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</si>
  <si>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</si>
  <si>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</si>
  <si>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</si>
  <si>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</si>
  <si>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</si>
  <si>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</si>
  <si>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</si>
  <si>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</si>
  <si>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</si>
  <si>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</si>
  <si>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</si>
  <si>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</si>
  <si>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</si>
  <si>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</si>
  <si>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</si>
  <si>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</si>
  <si>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</si>
  <si>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</si>
  <si>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</si>
  <si>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</si>
  <si>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</si>
  <si>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</si>
  <si>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</si>
  <si>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</si>
  <si>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</si>
  <si>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</si>
  <si>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</si>
  <si>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</si>
  <si>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</si>
  <si>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</si>
  <si>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</si>
  <si>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</si>
  <si>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</si>
  <si>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</si>
  <si>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</si>
  <si>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</si>
  <si>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</si>
  <si>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</si>
  <si>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</si>
  <si>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</si>
  <si>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</si>
  <si>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</si>
  <si>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</si>
  <si>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</si>
  <si>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</si>
  <si>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</si>
  <si>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</si>
  <si>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</si>
  <si>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</si>
  <si>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</si>
  <si>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</si>
  <si>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</si>
  <si>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</si>
  <si>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</si>
  <si>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</si>
  <si>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</si>
  <si>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</si>
  <si>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</si>
  <si>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</si>
  <si>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</si>
  <si>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</si>
  <si>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</si>
  <si>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</si>
  <si>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</si>
  <si>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</si>
  <si>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</si>
  <si>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</si>
  <si>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</si>
  <si>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</si>
  <si>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</si>
  <si>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</si>
  <si>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</si>
  <si>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</si>
  <si>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</si>
  <si>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</si>
  <si>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</si>
  <si>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</si>
  <si>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</si>
  <si>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</si>
  <si>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</si>
  <si>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</si>
  <si>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</si>
  <si>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</si>
  <si>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</si>
  <si>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</si>
  <si>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</si>
  <si>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</si>
  <si>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</si>
  <si>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</si>
  <si>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</si>
  <si>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</si>
  <si>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</si>
  <si>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</si>
  <si>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</si>
  <si>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</si>
  <si>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</si>
  <si>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</si>
  <si>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</si>
  <si>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</si>
  <si>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</si>
  <si>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</si>
  <si>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</si>
  <si>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</si>
  <si>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</si>
  <si>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</si>
  <si>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</si>
  <si>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</si>
  <si>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</si>
  <si>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</si>
  <si>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</si>
  <si>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</si>
  <si>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</si>
  <si>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</si>
  <si>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</si>
  <si>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</si>
  <si>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</si>
  <si>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</si>
  <si>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</si>
  <si>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</si>
  <si>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</si>
  <si>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</si>
  <si>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</si>
  <si>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</si>
  <si>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</si>
  <si>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</si>
  <si>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</si>
  <si>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</si>
  <si>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</si>
  <si>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</si>
  <si>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</si>
  <si>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</si>
  <si>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</si>
  <si>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</si>
  <si>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</si>
  <si>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</si>
  <si>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</si>
  <si>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</si>
  <si>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</si>
  <si>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</si>
  <si>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</si>
  <si>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</si>
  <si>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</si>
  <si>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</si>
  <si>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</si>
  <si>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</si>
  <si>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</si>
  <si>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</si>
  <si>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</si>
  <si>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</si>
  <si>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</si>
  <si>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</si>
  <si>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</si>
  <si>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</si>
  <si>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</si>
  <si>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</si>
  <si>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</si>
  <si>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</si>
  <si>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</si>
  <si>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</si>
  <si>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</si>
  <si>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</si>
  <si>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</si>
  <si>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</si>
  <si>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</si>
  <si>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</si>
  <si>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</si>
  <si>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</si>
  <si>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</si>
  <si>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</si>
  <si>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</si>
  <si>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</si>
  <si>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</si>
  <si>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</si>
  <si>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</si>
  <si>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</si>
  <si>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</si>
  <si>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</si>
  <si>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</si>
  <si>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</si>
  <si>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</si>
  <si>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</si>
  <si>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</si>
  <si>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</si>
  <si>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</si>
  <si>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</si>
  <si>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</si>
  <si>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</si>
  <si>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</si>
  <si>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</si>
  <si>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</si>
  <si>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</si>
  <si>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</si>
  <si>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</si>
  <si>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</si>
  <si>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</si>
  <si>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</si>
  <si>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</si>
  <si>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</si>
  <si>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</si>
  <si>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</si>
  <si>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</si>
  <si>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</si>
  <si>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</si>
  <si>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</si>
  <si>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</si>
  <si>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</si>
  <si>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</si>
  <si>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</si>
  <si>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</si>
  <si>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</si>
  <si>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</si>
  <si>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</si>
  <si>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</si>
  <si>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</si>
  <si>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</si>
  <si>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</si>
  <si>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</si>
  <si>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</si>
  <si>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</si>
  <si>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</si>
  <si>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</si>
  <si>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</si>
  <si>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</si>
  <si>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</si>
  <si>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</si>
  <si>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</si>
  <si>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</si>
  <si>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</si>
  <si>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</si>
  <si>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</si>
  <si>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</si>
  <si>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</si>
  <si>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</si>
  <si>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</si>
  <si>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</si>
  <si>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</si>
  <si>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</si>
  <si>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</si>
  <si>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</si>
  <si>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</si>
  <si>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</si>
  <si>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</si>
  <si>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</si>
  <si>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</si>
  <si>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</si>
  <si>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</si>
  <si>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</si>
  <si>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</si>
  <si>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</si>
  <si>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</si>
  <si>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</si>
  <si>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</si>
  <si>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</si>
  <si>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</si>
  <si>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Налог на пользование водными объектами</t>
  </si>
  <si>
    <t>Страхование гражданской ответственности</t>
  </si>
  <si>
    <t>Обеспечение ГО, ЧС, пожарной безопасности, предупреждение и ликвидация чрезвычайных ситуаций</t>
  </si>
  <si>
    <t>Внутрихозяйственный оборот - расходы, переданные на другие виды деятельности</t>
  </si>
  <si>
    <t>Внутрихозяйственный оборот - расходы, полученные от других видов деятельности</t>
  </si>
  <si>
    <t>Другие расходы</t>
  </si>
  <si>
    <t>Добавить прочие расходы</t>
  </si>
  <si>
    <t>HEAT_P2</t>
  </si>
  <si>
    <t>NOT_HEAT_P2</t>
  </si>
  <si>
    <t>hyp</t>
  </si>
  <si>
    <t>https://portal.eias.ru/Portal/DownloadPage.aspx?type=12&amp;guid=fa815418-fcf1-4166-bcb4-ce940ebd3857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</si>
  <si>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</si>
  <si>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</si>
  <si>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</si>
  <si>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</si>
  <si>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</si>
  <si>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</si>
  <si>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</si>
  <si>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</si>
  <si>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</si>
  <si>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</si>
  <si>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</si>
  <si>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</si>
  <si>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</si>
  <si>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</si>
  <si>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</si>
  <si>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</si>
  <si>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</si>
  <si>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</si>
  <si>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</si>
  <si>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</si>
  <si>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</si>
  <si>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</si>
  <si>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</si>
  <si>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</si>
  <si>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</si>
  <si>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</si>
  <si>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</si>
  <si>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</si>
  <si>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</si>
  <si>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</si>
  <si>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</si>
  <si>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</si>
  <si>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</si>
  <si>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</si>
  <si>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</si>
  <si>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</si>
  <si>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</si>
  <si>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</si>
  <si>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</si>
  <si>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</si>
  <si>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</si>
  <si>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</si>
  <si>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</si>
  <si>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</si>
  <si>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</si>
  <si>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</si>
  <si>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</si>
  <si>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</si>
  <si>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</si>
  <si>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</si>
  <si>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</si>
  <si>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</si>
  <si>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</si>
  <si>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</si>
  <si>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</si>
  <si>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</si>
  <si>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</si>
  <si>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</si>
  <si>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</si>
  <si>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</si>
  <si>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</si>
  <si>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</si>
  <si>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</si>
  <si>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</si>
  <si>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111111111111111111111111111111111</t>
  </si>
  <si>
    <t>1111111111111111111111111111111111</t>
  </si>
  <si>
    <t>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</si>
  <si>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</si>
  <si>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</si>
  <si>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</si>
  <si>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</si>
  <si>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</si>
  <si>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</si>
  <si>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</si>
  <si>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</si>
  <si>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</si>
  <si>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</si>
  <si>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</si>
  <si>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</si>
  <si>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</si>
  <si>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</si>
  <si>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</si>
  <si>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</si>
  <si>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</si>
  <si>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</si>
  <si>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</si>
  <si>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</si>
  <si>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</si>
  <si>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</si>
  <si>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</si>
  <si>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</si>
  <si>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</si>
  <si>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</si>
  <si>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</si>
  <si>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</si>
  <si>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</si>
  <si>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</si>
  <si>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</si>
  <si>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</si>
  <si>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</si>
  <si>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</si>
  <si>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</si>
  <si>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</si>
  <si>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</si>
  <si>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</si>
  <si>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</si>
  <si>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</si>
  <si>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</si>
  <si>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</si>
  <si>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</si>
  <si>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</si>
  <si>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</si>
  <si>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</si>
  <si>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</si>
  <si>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</si>
  <si>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</si>
  <si>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</si>
  <si>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</si>
  <si>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</si>
  <si>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</si>
  <si>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</si>
  <si>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</si>
  <si>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</si>
  <si>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</si>
  <si>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</si>
  <si>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</si>
  <si>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</si>
  <si>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</si>
  <si>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</si>
  <si>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</si>
  <si>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</si>
  <si>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</si>
  <si>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</si>
  <si>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</si>
  <si>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</si>
  <si>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</si>
  <si>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</si>
  <si>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</si>
  <si>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</si>
  <si>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</si>
  <si>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</si>
  <si>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</si>
  <si>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</si>
  <si>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</si>
  <si>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</si>
  <si>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</si>
  <si>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</si>
  <si>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</si>
  <si>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</si>
  <si>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</si>
  <si>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</si>
  <si>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</si>
  <si>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</si>
  <si>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</si>
  <si>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</si>
  <si>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</si>
  <si>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</si>
  <si>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</si>
  <si>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</si>
  <si>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</si>
  <si>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</si>
  <si>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</si>
  <si>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</si>
  <si>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</si>
  <si>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</si>
  <si>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</si>
  <si>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</si>
  <si>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</si>
  <si>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</si>
  <si>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</si>
  <si>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</si>
  <si>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</si>
  <si>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</si>
  <si>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</si>
  <si>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</si>
  <si>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</si>
  <si>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</si>
  <si>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</si>
  <si>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</si>
  <si>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</si>
  <si>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</si>
  <si>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</si>
  <si>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</si>
  <si>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</si>
  <si>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</si>
  <si>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</si>
  <si>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</si>
  <si>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</si>
  <si>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</si>
  <si>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</si>
  <si>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</si>
  <si>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</si>
  <si>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</si>
  <si>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</si>
  <si>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</si>
  <si>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</si>
  <si>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</si>
  <si>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</si>
  <si>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</si>
  <si>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</si>
  <si>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</si>
  <si>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</si>
  <si>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</si>
  <si>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</si>
  <si>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</si>
  <si>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</si>
  <si>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</si>
  <si>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</si>
  <si>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</si>
  <si>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</si>
  <si>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</si>
  <si>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</si>
  <si>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</si>
  <si>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</si>
  <si>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</si>
  <si>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</si>
  <si>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</si>
  <si>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</si>
  <si>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</si>
  <si>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</si>
  <si>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</si>
  <si>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</si>
  <si>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</si>
  <si>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</si>
  <si>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</si>
  <si>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</si>
  <si>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</si>
  <si>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</si>
  <si>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</si>
  <si>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</si>
  <si>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</si>
  <si>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</si>
  <si>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</si>
  <si>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</si>
  <si>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</si>
  <si>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</si>
  <si>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</si>
  <si>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</si>
  <si>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</si>
  <si>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</si>
  <si>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</si>
  <si>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</si>
  <si>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</si>
  <si>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</si>
  <si>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</si>
  <si>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</si>
  <si>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</si>
  <si>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</si>
  <si>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</si>
  <si>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</si>
  <si>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</si>
  <si>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</si>
  <si>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</si>
  <si>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</si>
  <si>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</si>
  <si>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</si>
  <si>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</si>
  <si>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</si>
  <si>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</si>
  <si>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</si>
  <si>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</si>
  <si>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</si>
  <si>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</si>
  <si>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</si>
  <si>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</si>
  <si>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</si>
  <si>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</si>
  <si>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</si>
  <si>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</si>
  <si>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</si>
  <si>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</si>
  <si>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</si>
  <si>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</si>
  <si>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</si>
  <si>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</si>
  <si>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</si>
  <si>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</si>
  <si>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</si>
  <si>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</si>
  <si>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</si>
  <si>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</si>
  <si>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</si>
  <si>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</si>
  <si>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</si>
  <si>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</si>
  <si>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</si>
  <si>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</si>
  <si>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</si>
  <si>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</si>
  <si>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</si>
  <si>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</si>
  <si>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</si>
  <si>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</si>
  <si>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</si>
  <si>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</si>
  <si>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</si>
  <si>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</si>
  <si>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</si>
  <si>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</si>
  <si>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</si>
  <si>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</si>
  <si>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</si>
  <si>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</si>
  <si>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</si>
  <si>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</si>
  <si>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</si>
  <si>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</si>
  <si>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</si>
  <si>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</si>
  <si>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</si>
  <si>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</si>
  <si>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</si>
  <si>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</si>
  <si>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</si>
  <si>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</si>
  <si>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</si>
  <si>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</si>
  <si>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</si>
  <si>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</si>
  <si>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</si>
  <si>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</si>
  <si>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</si>
  <si>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</si>
  <si>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</si>
  <si>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</si>
  <si>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</si>
  <si>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</si>
  <si>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</si>
  <si>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</si>
  <si>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</si>
  <si>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</si>
  <si>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</si>
  <si>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</si>
  <si>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</si>
  <si>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</si>
  <si>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</si>
  <si>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</si>
  <si>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</si>
  <si>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</si>
  <si>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</si>
  <si>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</si>
  <si>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</si>
  <si>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</si>
  <si>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</si>
  <si>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</si>
  <si>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</si>
  <si>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</si>
  <si>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</si>
  <si>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</si>
  <si>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</si>
  <si>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</si>
  <si>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</si>
  <si>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</si>
  <si>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</si>
  <si>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</si>
  <si>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</si>
  <si>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</si>
  <si>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</si>
  <si>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</si>
  <si>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</si>
  <si>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</si>
  <si>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</si>
  <si>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</si>
  <si>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</si>
  <si>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</si>
  <si>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</si>
  <si>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https://portal.eias.ru/Portal/DownloadPage.aspx?type=12&amp;guid=3054711f-8afb-4aae-998d-49e891fe9d03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</si>
  <si>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</si>
  <si>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</si>
  <si>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</si>
  <si>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</si>
  <si>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</si>
  <si>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</si>
  <si>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</si>
  <si>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</si>
  <si>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</si>
  <si>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</si>
  <si>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</si>
  <si>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</si>
  <si>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</si>
  <si>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</si>
  <si>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</si>
  <si>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</si>
  <si>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</si>
  <si>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</si>
  <si>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</si>
  <si>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</si>
  <si>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</si>
  <si>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</si>
  <si>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</si>
  <si>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</si>
  <si>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</si>
  <si>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</si>
  <si>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</si>
  <si>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</si>
  <si>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</si>
  <si>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</si>
  <si>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</si>
  <si>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</si>
  <si>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</si>
  <si>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</si>
  <si>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</si>
  <si>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</si>
  <si>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</si>
  <si>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</si>
  <si>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</si>
  <si>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</si>
  <si>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</si>
  <si>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</si>
  <si>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</si>
  <si>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</si>
  <si>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</si>
  <si>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</si>
  <si>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</si>
  <si>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</si>
  <si>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</si>
  <si>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</si>
  <si>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</si>
  <si>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</si>
  <si>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</si>
  <si>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</si>
  <si>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</si>
  <si>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</si>
  <si>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</si>
  <si>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</si>
  <si>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</si>
  <si>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</si>
  <si>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</si>
  <si>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</si>
  <si>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</si>
  <si>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</si>
  <si>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</si>
  <si>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</si>
  <si>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</si>
  <si>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</si>
  <si>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</si>
  <si>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</si>
  <si>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</si>
  <si>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</si>
  <si>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</si>
  <si>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</si>
  <si>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</si>
  <si>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</si>
  <si>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</si>
  <si>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</si>
  <si>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</si>
  <si>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</si>
  <si>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</si>
  <si>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</si>
  <si>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</si>
  <si>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</si>
  <si>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</si>
  <si>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</si>
  <si>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</si>
  <si>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</si>
  <si>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</si>
  <si>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</si>
  <si>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</si>
  <si>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</si>
  <si>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</si>
  <si>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повышение надёжности и энергетической эффективности</t>
  </si>
  <si>
    <t>Министерство жилищно-коммунального хозяйства Приморского края Агентство по тарифам Приморского края</t>
  </si>
  <si>
    <t>Администрация Шкотовского муниципального района</t>
  </si>
  <si>
    <t>01.01.2022</t>
  </si>
  <si>
    <t>31.12.2028</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</si>
  <si>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Романовского сельского поселения Шкотовского муниципального района на период с 2022 по 2028 годы</t>
  </si>
  <si>
    <t>приказ</t>
  </si>
  <si>
    <t>19-219/2</t>
  </si>
  <si>
    <t>28.10.2021</t>
  </si>
  <si>
    <t xml:space="preserve">"Об утверждении новой версии инвестиционной
программы КГУП «Примтеплоэнерго», в сфере холодного
водоснабжения на территории Романовского сельского поселения Шкотовского муниципального района на период с 2022 по 2029 годы
</t>
  </si>
  <si>
    <t xml:space="preserve">приказ
</t>
  </si>
  <si>
    <t xml:space="preserve">19-72/2
</t>
  </si>
  <si>
    <t>ip_5</t>
  </si>
  <si>
    <t>Добавить реквизиты</t>
  </si>
  <si>
    <t>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t>
  </si>
  <si>
    <t>Администрация городского округа Спасск-Дальний</t>
  </si>
  <si>
    <t>01.01.2017</t>
  </si>
  <si>
    <t>31.12.2026</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</si>
  <si>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</si>
  <si>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19-102/2</t>
  </si>
  <si>
    <t>30.11.2016</t>
  </si>
  <si>
    <t xml:space="preserve">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
</t>
  </si>
  <si>
    <t xml:space="preserve">19-80/2
</t>
  </si>
  <si>
    <t>ip_511</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</si>
  <si>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</si>
  <si>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Администрация Черниговского муниципального района</t>
  </si>
  <si>
    <t>01.01.2021</t>
  </si>
  <si>
    <t>31.12.2031</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</si>
  <si>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</si>
  <si>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</si>
  <si>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07.10.2020</t>
  </si>
  <si>
    <t xml:space="preserve">"Об утверждении новой версии инвестиционной
программы КГУП «Примтеплоэнерго», в сфере водоотведения на
территории Черниговского сельского поселения
на период с 2021 по 2032 годы"
</t>
  </si>
  <si>
    <t xml:space="preserve">19-101/2
</t>
  </si>
  <si>
    <t>ip_5111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</si>
  <si>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</si>
  <si>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</si>
  <si>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19-210/2</t>
  </si>
  <si>
    <t xml:space="preserve">"Об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
</t>
  </si>
  <si>
    <t xml:space="preserve">19-71/2
</t>
  </si>
  <si>
    <t>ip_51111</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</si>
  <si>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</si>
  <si>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Администрация Дальнегорского городского округа</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</si>
  <si>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Дальнегорского городского округа на период с 2021 по 2028 годы</t>
  </si>
  <si>
    <t>19-218/2</t>
  </si>
  <si>
    <t xml:space="preserve">"Об утверждении новой версии инвестиционной
программы КГУП «Примтеплоэнерго», в сфере холодного
водоснабжения на территории Дальнегорского городского округа
на период с 2021 по 2028 годы"
</t>
  </si>
  <si>
    <t xml:space="preserve">19-81/2
</t>
  </si>
  <si>
    <t>ip_511111</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</si>
  <si>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</si>
  <si>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 xml:space="preserve">Администрация Кавалеровского муниципального района </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</si>
  <si>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Кавалеровского муниципального района 
на период с 2021 по 2028 годы</t>
  </si>
  <si>
    <t>19-216/2</t>
  </si>
  <si>
    <t xml:space="preserve">"Об утверждении новой версии инвестиционной
программы КГУП «Примтеплоэнерго», в сфере холодного
водоснабжения на территории Кавалеровского муниципального округа
на период с 2021 по 2028 годы"
</t>
  </si>
  <si>
    <t xml:space="preserve">19-75/2
</t>
  </si>
  <si>
    <t>ip_5111111</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</si>
  <si>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</si>
  <si>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31.12.2029</t>
  </si>
  <si>
    <t>Об утверждении инвестиционной программы КГУП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2028годы</t>
  </si>
  <si>
    <t>19-217/2</t>
  </si>
  <si>
    <t xml:space="preserve">"Об утверждении новой версии инвестиционной
программы КГУП «Примтеплоэнерго», в сфере холодного
водоснабжения на территории Черниговского сельского поселения
на период с 2021 по 2029 годы"
</t>
  </si>
  <si>
    <t xml:space="preserve">19-103/2
</t>
  </si>
  <si>
    <t>ip_51111111</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</si>
  <si>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</si>
  <si>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</si>
  <si>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19-222/2</t>
  </si>
  <si>
    <t>08.10.2020</t>
  </si>
  <si>
    <t xml:space="preserve">"Об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
</t>
  </si>
  <si>
    <t xml:space="preserve">19-102/2
</t>
  </si>
  <si>
    <t>ip_511111111</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</si>
  <si>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</si>
  <si>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</si>
  <si>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</si>
  <si>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</si>
  <si>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</si>
  <si>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</si>
  <si>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ip_5111111111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</si>
  <si>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t>
  </si>
  <si>
    <t>Администрация городского округа ЗАТО город Фокино</t>
  </si>
  <si>
    <t>01.01.2020</t>
  </si>
  <si>
    <t>Об утверждении новой версии инвестиционной
программы КГУП «Примтеплоэнерго», в сфере водоснабжения и
водоотведения на территории городского округа ЗАТО Фокино
на период с 2020 по 2026 годы</t>
  </si>
  <si>
    <t>19-305/2</t>
  </si>
  <si>
    <t>21.10.2024</t>
  </si>
  <si>
    <t xml:space="preserve">"""Об утверждении новой версии инвестиционной
программы КГУП «Примтеплоэнерго», в сфере водоснабжения и
водоотведения на территории городского округа ЗАТО Фокино
на период с 2020 по 2026 годы"""
</t>
  </si>
  <si>
    <t xml:space="preserve">пр.19-305/2
</t>
  </si>
  <si>
    <t>ip_51111111111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</si>
  <si>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</si>
  <si>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</si>
  <si>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</si>
  <si>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</si>
  <si>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</si>
  <si>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</si>
  <si>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</si>
  <si>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</si>
  <si>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</si>
  <si>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</si>
  <si>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</si>
  <si>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</si>
  <si>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</si>
  <si>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</si>
  <si>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</si>
  <si>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</si>
  <si>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</si>
  <si>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</si>
  <si>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</si>
  <si>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</si>
  <si>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</si>
  <si>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</si>
  <si>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</si>
  <si>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</si>
  <si>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</si>
  <si>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</si>
  <si>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</si>
  <si>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</si>
  <si>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</si>
  <si>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</si>
  <si>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</si>
  <si>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Установка частотного преобразователя на НС-2 подъема в с.Романовка по ул.Гвардейская 2а</t>
  </si>
  <si>
    <t>Декабрь</t>
  </si>
  <si>
    <t>2029</t>
  </si>
  <si>
    <t>ВНС-2 с Романовка</t>
  </si>
  <si>
    <t>НС с сетями</t>
  </si>
  <si>
    <t>Шкотовский муниципальный округ</t>
  </si>
  <si>
    <t>05557000</t>
  </si>
  <si>
    <t>с Романовка</t>
  </si>
  <si>
    <t>05557000109</t>
  </si>
  <si>
    <t>ул. Гвардейская</t>
  </si>
  <si>
    <t>2А</t>
  </si>
  <si>
    <t xml:space="preserve">  Прибыль направляемая на инвестиции</t>
  </si>
  <si>
    <t>Добавить источник финансирования</t>
  </si>
  <si>
    <t>Добавить объект инфраструктуры</t>
  </si>
  <si>
    <t xml:space="preserve">Замена насоса на НС-2 подъема в с.Романовка по ул.Гвардейская 2а
</t>
  </si>
  <si>
    <t xml:space="preserve">Замена насоса в скважине по ул.Ленинская 10б 
</t>
  </si>
  <si>
    <t>Скважина б/н  на ул Ленинская с Романовка</t>
  </si>
  <si>
    <t>ул. Ленинская</t>
  </si>
  <si>
    <t>10Б</t>
  </si>
  <si>
    <t xml:space="preserve">Организация учета воды отпускаемой в сеть на НС-2 в с.Романовка по ул.Гвардейская 2а
</t>
  </si>
  <si>
    <t xml:space="preserve">Монтаж установок УФО воды на скажинном водозаборе по ул.Ленинская 10б
</t>
  </si>
  <si>
    <t xml:space="preserve">Техническое перевооружение здания хлораторной с ликвидацией склада хлора
</t>
  </si>
  <si>
    <t>2024</t>
  </si>
  <si>
    <t xml:space="preserve">     Амортизационные отчисления за исключением переоценки основных средств и нематериальных активов</t>
  </si>
  <si>
    <t xml:space="preserve">     Амортизационные отчисления в результате переоценки основных средств и нематериальных активов</t>
  </si>
  <si>
    <t xml:space="preserve">Модернизация линии электропередач от трансформаторной подстанции до скважины в с. Снегуровка, ул. Октябрьская, 85 а
</t>
  </si>
  <si>
    <t>2031</t>
  </si>
  <si>
    <t>Групповой водозабор (скв. "Октябрьская", "Парковая") с Снегуровка</t>
  </si>
  <si>
    <t>с Снегуровка</t>
  </si>
  <si>
    <t>05553000119</t>
  </si>
  <si>
    <t>ул. Октябрьская</t>
  </si>
  <si>
    <t>85А</t>
  </si>
  <si>
    <t xml:space="preserve">Модернизация сетей водоснабжения Дмитриевского сельского поселения
</t>
  </si>
  <si>
    <t>2028</t>
  </si>
  <si>
    <t xml:space="preserve">Модернизация водопроводных сетей Дальнегорского городского округа
</t>
  </si>
  <si>
    <t xml:space="preserve">Модернизация водопроводных сетей  Кавалеровского муниципального округа с заменой стальных труб на полиэтиленовые
</t>
  </si>
  <si>
    <t xml:space="preserve">Модернизация сетей водоснабжения с.Черниговка ( в том числе участок по ул.Дзержинского ч переходом через перекресток ул.Ленинская-ул.Дзержинского и участок по ул.Ленинская (от РКЦД до до перекрестка ул.Ленинская -ул.Буденного)
</t>
  </si>
  <si>
    <t xml:space="preserve">Модернизация сетей водоснабжения Реттиховского сельского поселения
</t>
  </si>
  <si>
    <t xml:space="preserve">Модернизация водопроводнойц сети по ул.Дальнереченская (от ул. Героев Даманского до ул.Энегельса)
</t>
  </si>
  <si>
    <t>2026</t>
  </si>
  <si>
    <t xml:space="preserve">Проектно-изыскательские работы по объекту "Реконструкция централизованной системы водоснабжения ЗАТО Фокино"
</t>
  </si>
  <si>
    <t xml:space="preserve">Геологическое изучение с целью оценки запасов питьевых подземных вод на участке недр галерейного водозабора «Тихоокеанский», расположенном в 3,0 км севернее городского округа ЗАТО г. Фокино Приморского края
</t>
  </si>
  <si>
    <t>2025</t>
  </si>
  <si>
    <t xml:space="preserve">  Кредиты</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</si>
  <si>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</si>
  <si>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</si>
  <si>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</si>
  <si>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</si>
  <si>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</si>
  <si>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</si>
  <si>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</si>
  <si>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</si>
  <si>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</si>
  <si>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</si>
  <si>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</si>
  <si>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</si>
  <si>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</si>
  <si>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</si>
  <si>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</si>
  <si>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</si>
  <si>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</si>
  <si>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</si>
  <si>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</si>
  <si>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</si>
  <si>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</si>
  <si>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</si>
  <si>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</si>
  <si>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</si>
  <si>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</si>
  <si>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</si>
  <si>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</si>
  <si>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</si>
  <si>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</si>
  <si>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</si>
  <si>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</si>
  <si>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</si>
  <si>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</si>
  <si>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</si>
  <si>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</si>
  <si>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</si>
  <si>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</si>
  <si>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</si>
  <si>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</si>
  <si>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</si>
  <si>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</si>
  <si>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</si>
  <si>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</si>
  <si>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</si>
  <si>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</si>
  <si>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</si>
  <si>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</si>
  <si>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</si>
  <si>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</si>
  <si>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</si>
  <si>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</si>
  <si>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</si>
  <si>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</si>
  <si>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</si>
  <si>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</si>
  <si>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</si>
  <si>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</si>
  <si>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</si>
  <si>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</si>
  <si>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</si>
  <si>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</si>
  <si>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</si>
  <si>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</si>
  <si>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</si>
  <si>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</si>
  <si>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</si>
  <si>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</si>
  <si>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</si>
  <si>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</si>
  <si>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</si>
  <si>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</si>
  <si>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</si>
  <si>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</si>
  <si>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</si>
  <si>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</si>
  <si>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</si>
  <si>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</si>
  <si>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</si>
  <si>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</si>
  <si>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</si>
  <si>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</si>
  <si>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</si>
  <si>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</si>
  <si>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</si>
  <si>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</si>
  <si>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</si>
  <si>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</si>
  <si>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</si>
  <si>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</si>
  <si>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</si>
  <si>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</si>
  <si>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</si>
  <si>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</si>
  <si>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</si>
  <si>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</si>
  <si>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</si>
  <si>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</si>
  <si>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</si>
  <si>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</si>
  <si>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</si>
  <si>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</si>
  <si>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утверждены в техническом задании</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</si>
  <si>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</si>
  <si>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</si>
  <si>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</si>
  <si>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</si>
  <si>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</si>
  <si>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</si>
  <si>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</si>
  <si>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</si>
  <si>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</si>
  <si>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</si>
  <si>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</si>
  <si>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</si>
  <si>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</si>
  <si>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</si>
  <si>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</si>
  <si>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</si>
  <si>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</si>
  <si>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</si>
  <si>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</si>
  <si>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</si>
  <si>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</si>
  <si>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</si>
  <si>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</si>
  <si>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</si>
  <si>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</si>
  <si>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</si>
  <si>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</si>
  <si>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</si>
  <si>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</si>
  <si>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</si>
  <si>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</si>
  <si>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</si>
  <si>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</si>
  <si>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</si>
  <si>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</si>
  <si>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</si>
  <si>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</si>
  <si>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</si>
  <si>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</si>
  <si>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</si>
  <si>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</si>
  <si>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</si>
  <si>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</si>
  <si>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</si>
  <si>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</si>
  <si>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</si>
  <si>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</si>
  <si>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</si>
  <si>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</si>
  <si>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</si>
  <si>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</si>
  <si>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</si>
  <si>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</si>
  <si>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</si>
  <si>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</si>
  <si>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</si>
  <si>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</si>
  <si>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</si>
  <si>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</si>
  <si>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</si>
  <si>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</si>
  <si>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</si>
  <si>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</si>
  <si>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</si>
  <si>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</si>
  <si>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</si>
  <si>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</si>
  <si>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</si>
  <si>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</si>
  <si>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</si>
  <si>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</si>
  <si>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</si>
  <si>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</si>
  <si>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</si>
  <si>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</si>
  <si>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</si>
  <si>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</si>
  <si>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</si>
  <si>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</si>
  <si>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</si>
  <si>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</si>
  <si>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</si>
  <si>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</si>
  <si>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</si>
  <si>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</si>
  <si>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</si>
  <si>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</si>
  <si>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</si>
  <si>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</si>
  <si>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</si>
  <si>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</si>
  <si>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</si>
  <si>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</si>
  <si>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</si>
  <si>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</si>
  <si>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</si>
  <si>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</si>
  <si>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</si>
  <si>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</si>
  <si>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</si>
  <si>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</si>
  <si>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</si>
  <si>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</si>
  <si>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</si>
  <si>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</si>
  <si>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</si>
  <si>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</si>
  <si>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</si>
  <si>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</si>
  <si>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</si>
  <si>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</si>
  <si>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</si>
  <si>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</si>
  <si>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</si>
  <si>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</si>
  <si>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</si>
  <si>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</si>
  <si>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</si>
  <si>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</si>
  <si>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</si>
  <si>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</si>
  <si>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</si>
  <si>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</si>
  <si>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</si>
  <si>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</si>
  <si>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</si>
  <si>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</si>
  <si>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</si>
  <si>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</si>
  <si>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</si>
  <si>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</si>
  <si>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</si>
  <si>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</si>
  <si>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</si>
  <si>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</si>
  <si>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</si>
  <si>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</si>
  <si>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</si>
  <si>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</si>
  <si>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</si>
  <si>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</si>
  <si>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</si>
  <si>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</si>
  <si>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</si>
  <si>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</si>
  <si>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</si>
  <si>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</si>
  <si>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</si>
  <si>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</si>
  <si>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</si>
  <si>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</si>
  <si>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</si>
  <si>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</si>
  <si>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</si>
  <si>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</si>
  <si>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</si>
  <si>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</si>
  <si>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</si>
  <si>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</si>
  <si>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</si>
  <si>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</si>
  <si>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</si>
  <si>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</si>
  <si>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</si>
  <si>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</si>
  <si>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</si>
  <si>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</si>
  <si>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</si>
  <si>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</si>
  <si>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</si>
  <si>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</si>
  <si>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</si>
  <si>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</si>
  <si>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</si>
  <si>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</si>
  <si>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</si>
  <si>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</si>
  <si>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</si>
  <si>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</si>
  <si>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</si>
  <si>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</si>
  <si>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</si>
  <si>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</si>
  <si>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</si>
  <si>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</si>
  <si>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</si>
  <si>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</si>
  <si>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</si>
  <si>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</si>
  <si>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</si>
  <si>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</si>
  <si>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</si>
  <si>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</si>
  <si>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</si>
  <si>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</si>
  <si>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</si>
  <si>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</si>
  <si>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</si>
  <si>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</si>
  <si>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</si>
  <si>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</si>
  <si>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</si>
  <si>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</si>
  <si>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</si>
  <si>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</si>
  <si>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</si>
  <si>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</si>
  <si>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</si>
  <si>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</si>
  <si>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</si>
  <si>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</si>
  <si>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</si>
  <si>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</si>
  <si>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</si>
  <si>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</si>
  <si>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</si>
  <si>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</si>
  <si>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</si>
  <si>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</si>
  <si>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</si>
  <si>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</si>
  <si>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</si>
  <si>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</si>
  <si>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</si>
  <si>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</si>
  <si>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</si>
  <si>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</si>
  <si>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</si>
  <si>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</si>
  <si>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</si>
  <si>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</si>
  <si>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</si>
  <si>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</si>
  <si>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</si>
  <si>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</si>
  <si>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</si>
  <si>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</si>
  <si>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</si>
  <si>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</si>
  <si>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</si>
  <si>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</si>
  <si>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</si>
  <si>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</si>
  <si>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</si>
  <si>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</si>
  <si>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</si>
  <si>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</si>
  <si>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</si>
  <si>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</si>
  <si>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</si>
  <si>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</si>
  <si>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</si>
  <si>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</si>
  <si>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</si>
  <si>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</si>
  <si>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</si>
  <si>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</si>
  <si>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</si>
  <si>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</si>
  <si>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</si>
  <si>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</si>
  <si>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</si>
  <si>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</si>
  <si>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</si>
  <si>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</si>
  <si>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</si>
  <si>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</si>
  <si>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</si>
  <si>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</si>
  <si>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</si>
  <si>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</si>
  <si>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</si>
  <si>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</si>
  <si>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</si>
  <si>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</si>
  <si>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</si>
  <si>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</si>
  <si>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</si>
  <si>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</si>
  <si>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</si>
  <si>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</si>
  <si>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</si>
  <si>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</si>
  <si>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</si>
  <si>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</si>
  <si>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</si>
  <si>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</si>
  <si>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</si>
  <si>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</si>
  <si>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</si>
  <si>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</si>
  <si>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</si>
  <si>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</si>
  <si>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</si>
  <si>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</si>
  <si>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</si>
  <si>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</si>
  <si>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</si>
  <si>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</si>
  <si>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</si>
  <si>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</si>
  <si>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</si>
  <si>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</si>
  <si>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</si>
  <si>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</si>
  <si>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</si>
  <si>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</si>
  <si>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</si>
  <si>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</si>
  <si>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</si>
  <si>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</si>
  <si>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</si>
  <si>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</si>
  <si>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</si>
  <si>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</si>
  <si>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</si>
  <si>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</si>
  <si>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</si>
  <si>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</si>
  <si>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</si>
  <si>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</si>
  <si>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</si>
  <si>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</si>
  <si>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</si>
  <si>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</si>
  <si>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</si>
  <si>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</si>
  <si>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</si>
  <si>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</si>
  <si>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</si>
  <si>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</si>
  <si>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</si>
  <si>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</si>
  <si>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</si>
  <si>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</si>
  <si>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</si>
  <si>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</si>
  <si>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</si>
  <si>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</si>
  <si>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</si>
  <si>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</si>
  <si>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</si>
  <si>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</si>
  <si>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</si>
  <si>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</si>
  <si>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</si>
  <si>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</si>
  <si>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</si>
  <si>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</si>
  <si>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</si>
  <si>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</si>
  <si>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</si>
  <si>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</si>
  <si>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</si>
  <si>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</si>
  <si>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</si>
  <si>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</si>
  <si>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</si>
  <si>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</si>
  <si>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</si>
  <si>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</si>
  <si>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</si>
  <si>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</si>
  <si>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</si>
  <si>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</si>
  <si>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</si>
  <si>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</si>
  <si>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</si>
  <si>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</si>
  <si>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</si>
  <si>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</si>
  <si>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</si>
  <si>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</si>
  <si>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</si>
  <si>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</si>
  <si>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</si>
  <si>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</si>
  <si>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</si>
  <si>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</si>
  <si>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</si>
  <si>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</si>
  <si>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</si>
  <si>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</si>
  <si>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</si>
  <si>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</si>
  <si>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</si>
  <si>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</si>
  <si>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</si>
  <si>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</si>
  <si>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</si>
  <si>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</si>
  <si>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</si>
  <si>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</si>
  <si>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</si>
  <si>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</si>
  <si>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</si>
  <si>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</si>
  <si>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</si>
  <si>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</si>
  <si>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</si>
  <si>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</si>
  <si>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</si>
  <si>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</si>
  <si>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</si>
  <si>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</si>
  <si>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</si>
  <si>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</si>
  <si>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</si>
  <si>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</si>
  <si>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</si>
  <si>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</si>
  <si>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</si>
  <si>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</si>
  <si>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</si>
  <si>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</si>
  <si>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</si>
  <si>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</si>
  <si>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</si>
  <si>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</si>
  <si>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</si>
  <si>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</si>
  <si>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</si>
  <si>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</si>
  <si>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</si>
  <si>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</si>
  <si>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</si>
  <si>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</si>
  <si>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</si>
  <si>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</si>
  <si>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</si>
  <si>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</si>
  <si>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</si>
  <si>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</si>
  <si>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</si>
  <si>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</si>
  <si>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</si>
  <si>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</si>
  <si>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</si>
  <si>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</si>
  <si>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</si>
  <si>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</si>
  <si>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</si>
  <si>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</si>
  <si>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</si>
  <si>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</si>
  <si>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</si>
  <si>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</si>
  <si>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</si>
  <si>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</si>
  <si>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</si>
  <si>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</si>
  <si>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</si>
  <si>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</si>
  <si>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</si>
  <si>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</si>
  <si>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</si>
  <si>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</si>
  <si>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</si>
  <si>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</si>
  <si>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</si>
  <si>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</si>
  <si>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</si>
  <si>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</si>
  <si>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</si>
  <si>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</si>
  <si>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</si>
  <si>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</si>
  <si>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</si>
  <si>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</si>
  <si>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</si>
  <si>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</si>
  <si>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</si>
  <si>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</si>
  <si>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</si>
  <si>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</si>
  <si>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</si>
  <si>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</si>
  <si>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</si>
  <si>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</si>
  <si>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</si>
  <si>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</si>
  <si>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</si>
  <si>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</si>
  <si>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</si>
  <si>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</si>
  <si>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</si>
  <si>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</si>
  <si>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</si>
  <si>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</si>
  <si>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</si>
  <si>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</si>
  <si>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</si>
  <si>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</si>
  <si>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</si>
  <si>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</si>
  <si>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</si>
  <si>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</si>
  <si>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</si>
  <si>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</si>
  <si>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</si>
  <si>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</si>
  <si>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</si>
  <si>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</si>
  <si>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</si>
  <si>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</si>
  <si>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</si>
  <si>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</si>
  <si>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</si>
  <si>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</si>
  <si>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</si>
  <si>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</si>
  <si>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</si>
  <si>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</si>
  <si>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</si>
  <si>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</si>
  <si>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</si>
  <si>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</si>
  <si>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</si>
  <si>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</si>
  <si>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</si>
  <si>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</si>
  <si>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</si>
  <si>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</si>
  <si>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</si>
  <si>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</si>
  <si>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</si>
  <si>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</si>
  <si>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</si>
  <si>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</si>
  <si>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</si>
  <si>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</si>
  <si>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</si>
  <si>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</si>
  <si>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</si>
  <si>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</si>
  <si>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</si>
  <si>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</si>
  <si>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</si>
  <si>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</si>
  <si>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</si>
  <si>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</si>
  <si>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</si>
  <si>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</si>
  <si>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</si>
  <si>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</si>
  <si>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</si>
  <si>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</si>
  <si>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</si>
  <si>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</si>
  <si>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</si>
  <si>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</si>
  <si>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</si>
  <si>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</si>
  <si>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</si>
  <si>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</si>
  <si>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</si>
  <si>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</si>
  <si>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</si>
  <si>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</si>
  <si>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</si>
  <si>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</si>
  <si>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</si>
  <si>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</si>
  <si>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</si>
  <si>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</si>
  <si>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</si>
  <si>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t>
  </si>
  <si>
    <t>начинать только с 2, остальное по умолчанию</t>
  </si>
  <si>
    <t>54</t>
  </si>
  <si>
    <t>Республика Калмыкия</t>
  </si>
  <si>
    <t>DIFFERENTIATION_ID</t>
  </si>
  <si>
    <t>511111111111111111111111111111111111111111</t>
  </si>
  <si>
    <t>55</t>
  </si>
  <si>
    <t>Республика Карелия</t>
  </si>
  <si>
    <t>IP_ID</t>
  </si>
  <si>
    <t>5111111111111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</si>
  <si>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</si>
  <si>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</si>
  <si>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</si>
  <si>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</si>
  <si>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</si>
  <si>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</si>
  <si>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</si>
  <si>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</si>
  <si>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</si>
  <si>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</si>
  <si>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</si>
  <si>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</si>
  <si>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</si>
  <si>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</si>
  <si>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</si>
  <si>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</si>
  <si>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</si>
  <si>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</si>
  <si>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</si>
  <si>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</si>
  <si>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</si>
  <si>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</si>
  <si>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</si>
  <si>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</si>
  <si>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</si>
  <si>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</si>
  <si>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</si>
  <si>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</si>
  <si>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</si>
  <si>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</si>
  <si>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</si>
  <si>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</si>
  <si>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</si>
  <si>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</si>
  <si>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</si>
  <si>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</si>
  <si>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</si>
  <si>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</si>
  <si>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</si>
  <si>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</si>
  <si>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</si>
  <si>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</si>
  <si>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</si>
  <si>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</si>
  <si>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</si>
  <si>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</si>
  <si>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</si>
  <si>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</si>
  <si>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</si>
  <si>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</si>
  <si>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</si>
  <si>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</si>
  <si>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</si>
  <si>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</si>
  <si>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</si>
  <si>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</si>
  <si>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</si>
  <si>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</si>
  <si>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</si>
  <si>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</si>
  <si>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</si>
  <si>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</si>
  <si>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</si>
  <si>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</si>
  <si>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</si>
  <si>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</si>
  <si>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</si>
  <si>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</si>
  <si>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</si>
  <si>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</si>
  <si>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</si>
  <si>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</si>
  <si>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</si>
  <si>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</si>
  <si>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</si>
  <si>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</si>
  <si>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</si>
  <si>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</si>
  <si>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</si>
  <si>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</si>
  <si>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</si>
  <si>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</si>
  <si>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</si>
  <si>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</si>
  <si>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</si>
  <si>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</si>
  <si>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</si>
  <si>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</si>
  <si>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</si>
  <si>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</si>
  <si>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</si>
  <si>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</si>
  <si>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</si>
  <si>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</si>
  <si>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</si>
  <si>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</si>
  <si>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</si>
  <si>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</si>
  <si>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</si>
  <si>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</si>
  <si>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</si>
  <si>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</si>
  <si>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</si>
  <si>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</si>
  <si>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</si>
  <si>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</si>
  <si>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</si>
  <si>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</si>
  <si>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</si>
  <si>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</si>
  <si>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</si>
  <si>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</si>
  <si>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</si>
  <si>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</si>
  <si>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</si>
  <si>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</si>
  <si>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</si>
  <si>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</si>
  <si>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</si>
  <si>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</si>
  <si>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</si>
  <si>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</si>
  <si>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</si>
  <si>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</si>
  <si>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</si>
  <si>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</si>
  <si>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</si>
  <si>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</si>
  <si>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</si>
  <si>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</si>
  <si>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</si>
  <si>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</si>
  <si>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</si>
  <si>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</si>
  <si>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</si>
  <si>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</si>
  <si>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</si>
  <si>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</si>
  <si>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</si>
  <si>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</si>
  <si>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</si>
  <si>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</si>
  <si>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</si>
  <si>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</si>
  <si>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</si>
  <si>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</si>
  <si>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</si>
  <si>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</si>
  <si>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</si>
  <si>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</si>
  <si>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</si>
  <si>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</si>
  <si>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</si>
  <si>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</si>
  <si>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</si>
  <si>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</si>
  <si>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</si>
  <si>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</si>
  <si>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</si>
  <si>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</si>
  <si>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</si>
  <si>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</si>
  <si>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</si>
  <si>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</si>
  <si>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</si>
  <si>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</si>
  <si>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</si>
  <si>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</si>
  <si>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</si>
  <si>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</si>
  <si>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</si>
  <si>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</si>
  <si>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</si>
  <si>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</si>
  <si>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</si>
  <si>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</si>
  <si>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</si>
  <si>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</si>
  <si>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</si>
  <si>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</si>
  <si>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</si>
  <si>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</si>
  <si>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</si>
  <si>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</si>
  <si>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</si>
  <si>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</si>
  <si>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</si>
  <si>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</si>
  <si>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</si>
  <si>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</si>
  <si>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</si>
  <si>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</si>
  <si>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</si>
  <si>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</si>
  <si>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</si>
  <si>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</si>
  <si>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</si>
  <si>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</si>
  <si>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</si>
  <si>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</si>
  <si>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</si>
  <si>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</si>
  <si>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</si>
  <si>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</si>
  <si>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</si>
  <si>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</si>
  <si>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</si>
  <si>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На листе: Показатели ФХД строка: «Внутрихозяйственный оборот - расходы, переданные на другие виды деятельности» все цифры по этой строчке должны быть отрицательными, но так как данный отчет не принимает отрицательных значений, ставим положительные (себестоимость искажена на внутрихозяйственный оборот). Пояснение: У КГУП "Примтеплоэнерго" несколько видов деятельности это: Теплоснабжение, водоснабжение, водоотведение, и согласно учетной политике расходы от другого вида деятельности передаются внутрихозяйственным оборотом отрицательными числами, а другой вид деятельности принимает эти расходы, но уже положительными значениями.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</si>
  <si>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</si>
  <si>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</si>
  <si>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</si>
  <si>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</si>
  <si>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</si>
  <si>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</si>
  <si>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</si>
  <si>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</si>
  <si>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</si>
  <si>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</si>
  <si>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</si>
  <si>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</si>
  <si>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</si>
  <si>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</si>
  <si>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</si>
  <si>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</si>
  <si>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</si>
  <si>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</si>
  <si>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</si>
  <si>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</si>
  <si>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</si>
  <si>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</si>
  <si>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</si>
  <si>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</si>
  <si>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</si>
  <si>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</si>
  <si>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</si>
  <si>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</si>
  <si>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</si>
  <si>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</si>
  <si>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</si>
  <si>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</si>
  <si>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</si>
  <si>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</si>
  <si>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</si>
  <si>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</si>
  <si>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</si>
  <si>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</si>
  <si>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</si>
  <si>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</si>
  <si>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</si>
  <si>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</si>
  <si>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</si>
  <si>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</si>
  <si>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</si>
  <si>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</si>
  <si>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</si>
  <si>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</si>
  <si>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</si>
  <si>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</si>
  <si>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</si>
  <si>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</si>
  <si>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</si>
  <si>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</si>
  <si>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</si>
  <si>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</si>
  <si>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</si>
  <si>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</si>
  <si>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</si>
  <si>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</si>
  <si>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</si>
  <si>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</si>
  <si>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</si>
  <si>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</si>
  <si>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</si>
  <si>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</si>
  <si>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</si>
  <si>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</si>
  <si>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</si>
  <si>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</si>
  <si>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</si>
  <si>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</si>
  <si>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</si>
  <si>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</si>
  <si>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</si>
  <si>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</si>
  <si>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</si>
  <si>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</si>
  <si>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</si>
  <si>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</si>
  <si>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</si>
  <si>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</si>
  <si>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</si>
  <si>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</si>
  <si>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</si>
  <si>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</si>
  <si>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</si>
  <si>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</si>
  <si>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</si>
  <si>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</si>
  <si>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</si>
  <si>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</si>
  <si>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</si>
  <si>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</si>
  <si>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</si>
  <si>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</si>
  <si>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</si>
  <si>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</si>
  <si>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</si>
  <si>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</si>
  <si>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</si>
  <si>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</si>
  <si>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</si>
  <si>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</si>
  <si>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</si>
  <si>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</si>
  <si>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</si>
  <si>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</si>
  <si>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</si>
  <si>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</si>
  <si>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</si>
  <si>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</si>
  <si>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</si>
  <si>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</si>
  <si>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</si>
  <si>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</si>
  <si>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</si>
  <si>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</si>
  <si>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</si>
  <si>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</si>
  <si>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</si>
  <si>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</si>
  <si>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</si>
  <si>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</si>
  <si>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</si>
  <si>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</si>
  <si>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</si>
  <si>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</si>
  <si>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</si>
  <si>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</si>
  <si>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</si>
  <si>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</si>
  <si>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</si>
  <si>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</si>
  <si>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</si>
  <si>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</si>
  <si>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</si>
  <si>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</si>
  <si>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</si>
  <si>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</si>
  <si>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</si>
  <si>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</si>
  <si>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</si>
  <si>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</si>
  <si>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</si>
  <si>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</si>
  <si>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</si>
  <si>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</si>
  <si>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</si>
  <si>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</si>
  <si>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</si>
  <si>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</si>
  <si>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</si>
  <si>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</si>
  <si>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</si>
  <si>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</si>
  <si>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</si>
  <si>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</si>
  <si>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</si>
  <si>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</si>
  <si>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</si>
  <si>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</si>
  <si>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</si>
  <si>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</si>
  <si>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</si>
  <si>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</si>
  <si>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</si>
  <si>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</si>
  <si>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</si>
  <si>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</si>
  <si>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</si>
  <si>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</si>
  <si>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</si>
  <si>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</si>
  <si>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</si>
  <si>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</si>
  <si>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</si>
  <si>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</si>
  <si>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</si>
  <si>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</si>
  <si>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</si>
  <si>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</si>
  <si>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</si>
  <si>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</si>
  <si>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</si>
  <si>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</si>
  <si>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</si>
  <si>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</si>
  <si>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</si>
  <si>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</si>
  <si>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</si>
  <si>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</si>
  <si>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</si>
  <si>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</si>
  <si>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</si>
  <si>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</si>
  <si>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</si>
  <si>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</si>
  <si>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</si>
  <si>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</si>
  <si>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</si>
  <si>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</si>
  <si>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</si>
  <si>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</si>
  <si>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</si>
  <si>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</si>
  <si>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</si>
  <si>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</si>
  <si>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</si>
  <si>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</si>
  <si>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</si>
  <si>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</si>
  <si>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</si>
  <si>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</si>
  <si>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</si>
  <si>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</si>
  <si>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</si>
  <si>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</si>
  <si>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</si>
  <si>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</si>
  <si>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</si>
  <si>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</si>
  <si>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</si>
  <si>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</si>
  <si>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</si>
  <si>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</si>
  <si>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</si>
  <si>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</si>
  <si>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</si>
  <si>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</si>
  <si>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</si>
  <si>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</si>
  <si>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</si>
  <si>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</si>
  <si>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</si>
  <si>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</si>
  <si>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</si>
  <si>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</si>
  <si>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</si>
  <si>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</si>
  <si>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</si>
  <si>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</si>
  <si>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</si>
  <si>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</si>
  <si>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</si>
  <si>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</si>
  <si>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</si>
  <si>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</si>
  <si>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</si>
  <si>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</si>
  <si>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</si>
  <si>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</si>
  <si>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</si>
  <si>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</si>
  <si>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</si>
  <si>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</si>
  <si>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</si>
  <si>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</si>
  <si>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</si>
  <si>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</si>
  <si>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</si>
  <si>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</si>
  <si>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</si>
  <si>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</si>
  <si>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</si>
  <si>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</si>
  <si>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</si>
  <si>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</si>
  <si>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</si>
  <si>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</si>
  <si>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</si>
  <si>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</si>
  <si>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</si>
  <si>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</si>
  <si>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</si>
  <si>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</si>
  <si>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</si>
  <si>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</si>
  <si>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</si>
  <si>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</si>
  <si>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</si>
  <si>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</si>
  <si>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</si>
  <si>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</si>
  <si>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</si>
  <si>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</si>
  <si>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</si>
  <si>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</si>
  <si>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</si>
  <si>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</si>
  <si>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</si>
  <si>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</si>
  <si>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</si>
  <si>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</si>
  <si>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</si>
  <si>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</si>
  <si>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</si>
  <si>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</si>
  <si>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</si>
  <si>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</si>
  <si>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</si>
  <si>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</si>
  <si>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</si>
  <si>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</si>
  <si>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</si>
  <si>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</si>
  <si>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</si>
  <si>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</si>
  <si>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</si>
  <si>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</si>
  <si>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</si>
  <si>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</si>
  <si>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</si>
  <si>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</si>
  <si>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</si>
  <si>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</si>
  <si>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</si>
  <si>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</si>
  <si>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</si>
  <si>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</si>
  <si>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</si>
  <si>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</si>
  <si>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</si>
  <si>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</si>
  <si>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</si>
  <si>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</si>
  <si>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</si>
  <si>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</si>
  <si>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</si>
  <si>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</si>
  <si>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</si>
  <si>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</si>
  <si>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</si>
  <si>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</si>
  <si>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</si>
  <si>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</si>
  <si>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</si>
  <si>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</si>
  <si>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</si>
  <si>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</si>
  <si>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</si>
  <si>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</si>
  <si>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</si>
  <si>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</si>
  <si>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</si>
  <si>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</si>
  <si>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</si>
  <si>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</si>
  <si>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</si>
  <si>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</si>
  <si>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</si>
  <si>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</si>
  <si>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</si>
  <si>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</si>
  <si>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</si>
  <si>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</si>
  <si>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</si>
  <si>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</si>
  <si>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</si>
  <si>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</si>
  <si>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</si>
  <si>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</si>
  <si>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</si>
  <si>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</si>
  <si>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</si>
  <si>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</si>
  <si>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</si>
  <si>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</si>
  <si>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</si>
  <si>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</si>
  <si>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</si>
  <si>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</si>
  <si>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</si>
  <si>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</si>
  <si>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</si>
  <si>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</si>
  <si>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</si>
  <si>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</si>
  <si>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</si>
  <si>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</si>
  <si>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</si>
  <si>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</si>
  <si>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</si>
  <si>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</si>
  <si>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</si>
  <si>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</si>
  <si>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</si>
  <si>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</si>
  <si>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</si>
  <si>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</si>
  <si>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</si>
  <si>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</si>
  <si>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</si>
  <si>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</si>
  <si>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</si>
  <si>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</si>
  <si>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</si>
  <si>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</si>
  <si>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</si>
  <si>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</si>
  <si>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</si>
  <si>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</si>
  <si>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</si>
  <si>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</si>
  <si>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</si>
  <si>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</si>
  <si>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</si>
  <si>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</si>
  <si>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</si>
  <si>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</si>
  <si>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</si>
  <si>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</si>
  <si>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</si>
  <si>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</si>
  <si>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</si>
  <si>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</si>
  <si>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</si>
  <si>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</si>
  <si>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</si>
  <si>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</si>
  <si>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</si>
  <si>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</si>
  <si>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</si>
  <si>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</si>
  <si>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</si>
  <si>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</si>
  <si>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</si>
  <si>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</si>
  <si>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</si>
  <si>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</si>
  <si>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</si>
  <si>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</si>
  <si>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</si>
  <si>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</si>
  <si>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</si>
  <si>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</si>
  <si>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</si>
  <si>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</si>
  <si>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</si>
  <si>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</si>
  <si>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</si>
  <si>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</si>
  <si>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</si>
  <si>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</si>
  <si>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</si>
  <si>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</si>
  <si>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</si>
  <si>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</si>
  <si>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</si>
  <si>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</si>
  <si>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</si>
  <si>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</si>
  <si>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</si>
  <si>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</si>
  <si>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</si>
  <si>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</si>
  <si>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</si>
  <si>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</si>
  <si>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</si>
  <si>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</si>
  <si>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</si>
  <si>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</si>
  <si>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</si>
  <si>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</si>
  <si>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</si>
  <si>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</si>
  <si>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</si>
  <si>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</si>
  <si>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</si>
  <si>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</si>
  <si>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</si>
  <si>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</si>
  <si>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</si>
  <si>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</si>
  <si>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</si>
  <si>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</si>
  <si>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</si>
  <si>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</si>
  <si>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</si>
  <si>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</si>
  <si>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</si>
  <si>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</si>
  <si>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</si>
  <si>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</si>
  <si>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</si>
  <si>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</si>
  <si>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</si>
  <si>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</si>
  <si>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</si>
  <si>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</si>
  <si>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</si>
  <si>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</si>
  <si>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</si>
  <si>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</si>
  <si>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</si>
  <si>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</si>
  <si>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</si>
  <si>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</si>
  <si>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</si>
  <si>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</si>
  <si>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</si>
  <si>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</si>
  <si>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</si>
  <si>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</si>
  <si>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</si>
  <si>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</si>
  <si>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</si>
  <si>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</si>
  <si>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</si>
  <si>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</si>
  <si>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</si>
  <si>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</si>
  <si>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</si>
  <si>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</si>
  <si>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</si>
  <si>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</si>
  <si>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</si>
  <si>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</si>
  <si>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</si>
  <si>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</si>
  <si>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</si>
  <si>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</si>
  <si>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</si>
  <si>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</si>
  <si>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</si>
  <si>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</si>
  <si>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</si>
  <si>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</si>
  <si>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</si>
  <si>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</si>
  <si>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</si>
  <si>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</si>
  <si>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</si>
  <si>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</si>
  <si>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</si>
  <si>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</si>
  <si>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</si>
  <si>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</si>
  <si>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</si>
  <si>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</si>
  <si>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</si>
  <si>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</si>
  <si>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</si>
  <si>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</si>
  <si>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</si>
  <si>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</si>
  <si>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</si>
  <si>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</si>
  <si>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</si>
  <si>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</si>
  <si>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</si>
  <si>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</si>
  <si>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</si>
  <si>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</si>
  <si>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</si>
  <si>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</si>
  <si>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</si>
  <si>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</si>
  <si>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</si>
  <si>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</si>
  <si>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</si>
  <si>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</si>
  <si>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</si>
  <si>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</si>
  <si>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</si>
  <si>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</si>
  <si>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</si>
  <si>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</si>
  <si>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</si>
  <si>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</si>
  <si>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</si>
  <si>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</si>
  <si>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</si>
  <si>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</si>
  <si>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</si>
  <si>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</si>
  <si>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</si>
  <si>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</si>
  <si>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</si>
  <si>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</si>
  <si>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</si>
  <si>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</si>
  <si>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</si>
  <si>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</si>
  <si>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</si>
  <si>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</si>
  <si>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</si>
  <si>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</si>
  <si>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</si>
  <si>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</si>
  <si>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</si>
  <si>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</si>
  <si>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</si>
  <si>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</si>
  <si>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</si>
  <si>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</si>
  <si>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</si>
  <si>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</si>
  <si>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</si>
  <si>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</si>
  <si>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</si>
  <si>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</si>
  <si>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</si>
  <si>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</si>
  <si>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</si>
  <si>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</si>
  <si>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</si>
  <si>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</si>
  <si>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</si>
  <si>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</si>
  <si>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</si>
  <si>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</si>
  <si>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</si>
  <si>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</si>
  <si>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</si>
  <si>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</si>
  <si>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</si>
  <si>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</si>
  <si>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</si>
  <si>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</si>
  <si>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</si>
  <si>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</si>
  <si>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</si>
  <si>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</si>
  <si>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</si>
  <si>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</si>
  <si>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</si>
  <si>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</si>
  <si>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</si>
  <si>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</si>
  <si>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</si>
  <si>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</si>
  <si>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</si>
  <si>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</si>
  <si>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</si>
  <si>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</si>
  <si>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</si>
  <si>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</si>
  <si>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</si>
  <si>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</si>
  <si>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</si>
  <si>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</si>
  <si>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</si>
  <si>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</si>
  <si>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</si>
  <si>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</si>
  <si>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</si>
  <si>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</si>
  <si>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</si>
  <si>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</si>
  <si>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</si>
  <si>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</si>
  <si>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</si>
  <si>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</si>
  <si>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</si>
  <si>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</si>
  <si>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</si>
  <si>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</si>
  <si>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</si>
  <si>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</si>
  <si>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</si>
  <si>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</si>
  <si>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</si>
  <si>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</si>
  <si>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</si>
  <si>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</si>
  <si>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</si>
  <si>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</si>
  <si>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</si>
  <si>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</si>
  <si>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</si>
  <si>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</si>
  <si>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</si>
  <si>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</si>
  <si>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</si>
  <si>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</si>
  <si>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</si>
  <si>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</si>
  <si>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</si>
  <si>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</si>
  <si>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</si>
  <si>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</si>
  <si>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</si>
  <si>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</si>
  <si>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</si>
  <si>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</si>
  <si>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</si>
  <si>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</si>
  <si>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</si>
  <si>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</si>
  <si>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</si>
  <si>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</si>
  <si>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</si>
  <si>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</si>
  <si>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</si>
  <si>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</si>
  <si>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</si>
  <si>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</si>
  <si>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</si>
  <si>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</si>
  <si>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</si>
  <si>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</si>
  <si>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</si>
  <si>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</si>
  <si>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</si>
  <si>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</si>
  <si>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</si>
  <si>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</si>
  <si>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</si>
  <si>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</si>
  <si>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</si>
  <si>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</si>
  <si>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</si>
  <si>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</si>
  <si>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</si>
  <si>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</si>
  <si>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</si>
  <si>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</si>
  <si>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</si>
  <si>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</si>
  <si>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</si>
  <si>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</si>
  <si>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</si>
  <si>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</si>
  <si>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</si>
  <si>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</si>
  <si>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</si>
  <si>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</si>
  <si>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</si>
  <si>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</si>
  <si>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</si>
  <si>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</si>
  <si>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</si>
  <si>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</si>
  <si>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</si>
  <si>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</si>
  <si>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</si>
  <si>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</si>
  <si>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</si>
  <si>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</si>
  <si>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</si>
  <si>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</si>
  <si>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</si>
  <si>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</si>
  <si>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</si>
  <si>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</si>
  <si>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</si>
  <si>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</si>
  <si>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</si>
  <si>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</si>
  <si>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</si>
  <si>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</si>
  <si>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</si>
  <si>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</si>
  <si>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</si>
  <si>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</si>
  <si>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</si>
  <si>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</si>
  <si>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</si>
  <si>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</si>
  <si>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</si>
  <si>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</si>
  <si>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</si>
  <si>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</si>
  <si>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</si>
  <si>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</si>
  <si>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</si>
  <si>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</si>
  <si>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</si>
  <si>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</si>
  <si>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</si>
  <si>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</si>
  <si>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</si>
  <si>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</si>
  <si>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</si>
  <si>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</si>
  <si>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</si>
  <si>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</si>
  <si>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</si>
  <si>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</si>
  <si>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</si>
  <si>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</si>
  <si>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</si>
  <si>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</si>
  <si>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</si>
  <si>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</si>
  <si>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</si>
  <si>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</si>
  <si>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</si>
  <si>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</si>
  <si>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</si>
  <si>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</si>
  <si>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</si>
  <si>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</si>
  <si>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</si>
  <si>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</si>
  <si>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</si>
  <si>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</si>
  <si>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</si>
  <si>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</si>
  <si>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</si>
  <si>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</si>
  <si>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</si>
  <si>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</si>
  <si>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</si>
  <si>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</si>
  <si>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</si>
  <si>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</si>
  <si>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</si>
  <si>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</si>
  <si>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</si>
  <si>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</si>
  <si>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</si>
  <si>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</si>
  <si>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</si>
  <si>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</si>
  <si>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</si>
  <si>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</si>
  <si>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</si>
  <si>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</si>
  <si>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</si>
  <si>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</si>
  <si>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</si>
  <si>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</si>
  <si>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</si>
  <si>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</si>
  <si>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</si>
  <si>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</si>
  <si>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</si>
  <si>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</si>
  <si>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</si>
  <si>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</si>
  <si>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</si>
  <si>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</si>
  <si>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</si>
  <si>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</si>
  <si>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</si>
  <si>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</si>
  <si>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</si>
  <si>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</si>
  <si>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</si>
  <si>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</si>
  <si>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</si>
  <si>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</si>
  <si>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</si>
  <si>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</si>
  <si>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</si>
  <si>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</si>
  <si>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</si>
  <si>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</si>
  <si>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</si>
  <si>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</si>
  <si>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</si>
  <si>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</si>
  <si>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</si>
  <si>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</si>
  <si>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</si>
  <si>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</si>
  <si>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</si>
  <si>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</si>
  <si>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</si>
  <si>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</si>
  <si>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</si>
  <si>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</si>
  <si>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</si>
  <si>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</si>
  <si>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</si>
  <si>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</si>
  <si>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</si>
  <si>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</si>
  <si>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</si>
  <si>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</si>
  <si>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</si>
  <si>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</si>
  <si>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</si>
  <si>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</si>
  <si>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</si>
  <si>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</si>
  <si>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</si>
  <si>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</si>
  <si>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</si>
  <si>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</si>
  <si>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</si>
  <si>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</si>
  <si>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</si>
  <si>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</si>
  <si>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</si>
  <si>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</si>
  <si>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</si>
  <si>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</si>
  <si>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</si>
  <si>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</si>
  <si>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</si>
  <si>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</si>
  <si>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</si>
  <si>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</si>
  <si>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</si>
  <si>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</si>
  <si>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</si>
  <si>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</si>
  <si>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</si>
  <si>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</si>
  <si>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</si>
  <si>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</si>
  <si>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</si>
  <si>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</si>
  <si>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</si>
  <si>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</si>
  <si>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</si>
  <si>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</si>
  <si>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</si>
  <si>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</si>
  <si>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</si>
  <si>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</si>
  <si>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</si>
  <si>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</si>
  <si>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</si>
  <si>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</si>
  <si>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</si>
  <si>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</si>
  <si>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</si>
  <si>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</si>
  <si>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</si>
  <si>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</si>
  <si>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</si>
  <si>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</si>
  <si>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</si>
  <si>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</si>
  <si>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</si>
  <si>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</si>
  <si>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</si>
  <si>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</si>
  <si>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</si>
  <si>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</si>
  <si>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</si>
  <si>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</si>
  <si>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</si>
  <si>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</si>
  <si>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</si>
  <si>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</si>
  <si>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</si>
  <si>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</si>
  <si>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</si>
  <si>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</si>
  <si>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</si>
  <si>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</si>
  <si>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</si>
  <si>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</si>
  <si>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</si>
  <si>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</si>
  <si>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</si>
  <si>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</si>
  <si>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</si>
  <si>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</si>
  <si>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</si>
  <si>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</si>
  <si>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</si>
  <si>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</si>
  <si>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</si>
  <si>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</si>
  <si>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</si>
  <si>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</si>
  <si>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</si>
  <si>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</si>
  <si>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</si>
  <si>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</si>
  <si>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</si>
  <si>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</si>
  <si>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</si>
  <si>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</si>
  <si>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</si>
  <si>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</si>
  <si>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</si>
  <si>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</si>
  <si>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</si>
  <si>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</si>
  <si>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</si>
  <si>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</si>
  <si>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</si>
  <si>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</si>
  <si>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</si>
  <si>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</si>
  <si>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</si>
  <si>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</si>
  <si>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</si>
  <si>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</si>
  <si>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</si>
  <si>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</si>
  <si>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</si>
  <si>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</si>
  <si>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</si>
  <si>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</si>
  <si>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</si>
  <si>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</si>
  <si>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</si>
  <si>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</si>
  <si>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</si>
  <si>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</si>
  <si>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</si>
  <si>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</si>
  <si>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</si>
  <si>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</si>
  <si>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</si>
  <si>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</si>
  <si>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</si>
  <si>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</si>
  <si>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</si>
  <si>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</si>
  <si>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</si>
  <si>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</si>
  <si>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</si>
  <si>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</si>
  <si>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</si>
  <si>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</si>
  <si>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</si>
  <si>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</si>
  <si>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</si>
  <si>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</si>
  <si>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</si>
  <si>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</si>
  <si>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</si>
  <si>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</si>
  <si>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</si>
  <si>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</si>
  <si>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</si>
  <si>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</si>
  <si>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</si>
  <si>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</si>
  <si>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</si>
  <si>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</si>
  <si>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</si>
  <si>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</si>
  <si>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</si>
  <si>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</si>
  <si>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</si>
  <si>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</si>
  <si>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</si>
  <si>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</si>
  <si>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</si>
  <si>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</si>
  <si>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</si>
  <si>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</si>
  <si>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</si>
  <si>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</si>
  <si>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</si>
  <si>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</si>
  <si>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</si>
  <si>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</si>
  <si>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</si>
  <si>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</si>
  <si>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</si>
  <si>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</si>
  <si>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</si>
  <si>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</si>
  <si>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</si>
  <si>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</si>
  <si>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</si>
  <si>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</si>
  <si>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</si>
  <si>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</si>
  <si>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</si>
  <si>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</si>
  <si>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</si>
  <si>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</si>
  <si>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</si>
  <si>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</si>
  <si>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</si>
  <si>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</si>
  <si>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</si>
  <si>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</si>
  <si>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</si>
  <si>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</si>
  <si>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</si>
  <si>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</si>
  <si>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</si>
  <si>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</si>
  <si>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</si>
  <si>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</si>
  <si>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</si>
  <si>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</si>
  <si>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</si>
  <si>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</si>
  <si>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</si>
  <si>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</si>
  <si>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</si>
  <si>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</si>
  <si>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</si>
  <si>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</si>
  <si>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</si>
  <si>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</si>
  <si>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</si>
  <si>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</si>
  <si>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</si>
  <si>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</si>
  <si>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</si>
  <si>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</si>
  <si>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</si>
  <si>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</si>
  <si>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</si>
  <si>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</si>
  <si>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</si>
  <si>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</si>
  <si>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</si>
  <si>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</si>
  <si>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</si>
  <si>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</si>
  <si>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</si>
  <si>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</si>
  <si>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</si>
  <si>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</si>
  <si>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</si>
  <si>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</si>
  <si>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</si>
  <si>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</si>
  <si>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</si>
  <si>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</si>
  <si>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</si>
  <si>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</si>
  <si>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</si>
  <si>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</si>
  <si>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</si>
  <si>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</si>
  <si>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</si>
  <si>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</si>
  <si>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</si>
  <si>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</si>
  <si>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</si>
  <si>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</si>
  <si>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</si>
  <si>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</si>
  <si>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</si>
  <si>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</si>
  <si>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</si>
  <si>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</si>
  <si>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</si>
  <si>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</si>
  <si>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</si>
  <si>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</si>
  <si>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</si>
  <si>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</si>
  <si>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</si>
  <si>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</si>
  <si>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</si>
  <si>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</si>
  <si>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</si>
  <si>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</si>
  <si>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</si>
  <si>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</si>
  <si>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</si>
  <si>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</si>
  <si>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</si>
  <si>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</si>
  <si>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</si>
  <si>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</si>
  <si>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</si>
  <si>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</si>
  <si>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</si>
  <si>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</si>
  <si>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</si>
  <si>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</si>
  <si>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</si>
  <si>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</si>
  <si>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</si>
  <si>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</si>
  <si>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</si>
  <si>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</si>
  <si>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</si>
  <si>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</si>
  <si>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</si>
  <si>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</si>
  <si>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</si>
  <si>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</si>
  <si>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</si>
  <si>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</si>
  <si>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</si>
  <si>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</si>
  <si>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</si>
  <si>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</si>
  <si>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</si>
  <si>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</si>
  <si>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</si>
  <si>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</si>
  <si>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</si>
  <si>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</si>
  <si>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</si>
  <si>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</si>
  <si>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</si>
  <si>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</si>
  <si>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</si>
  <si>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</si>
  <si>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</si>
  <si>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</si>
  <si>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</si>
  <si>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</si>
  <si>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</si>
  <si>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</si>
  <si>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</si>
  <si>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</si>
  <si>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</si>
  <si>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</si>
  <si>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</si>
  <si>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</si>
  <si>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</si>
  <si>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</si>
  <si>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</si>
  <si>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</si>
  <si>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</si>
  <si>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</si>
  <si>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</si>
  <si>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</si>
  <si>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</si>
  <si>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</si>
  <si>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</si>
  <si>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</si>
  <si>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</si>
  <si>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</si>
  <si>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</si>
  <si>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</si>
  <si>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</si>
  <si>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</si>
  <si>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</si>
  <si>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</si>
  <si>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</si>
  <si>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</si>
  <si>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</si>
  <si>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</si>
  <si>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</si>
  <si>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</si>
  <si>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</si>
  <si>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</si>
  <si>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</si>
  <si>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</si>
  <si>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</si>
  <si>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</si>
  <si>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</si>
  <si>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</si>
  <si>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</si>
  <si>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</si>
  <si>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</si>
  <si>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</si>
  <si>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</si>
  <si>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</si>
  <si>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</si>
  <si>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</si>
  <si>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</si>
  <si>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</si>
  <si>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</si>
  <si>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</si>
  <si>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</si>
  <si>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</si>
  <si>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</si>
  <si>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</si>
  <si>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</si>
  <si>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</si>
  <si>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</si>
  <si>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</si>
  <si>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</si>
  <si>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</si>
  <si>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</si>
  <si>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</si>
  <si>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</si>
  <si>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</si>
  <si>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</si>
  <si>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</si>
  <si>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</si>
  <si>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</si>
  <si>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</si>
  <si>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</si>
  <si>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</si>
  <si>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</si>
  <si>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</si>
  <si>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</si>
  <si>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</si>
  <si>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</si>
  <si>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</si>
  <si>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</si>
  <si>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</si>
  <si>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</si>
  <si>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</si>
  <si>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</si>
  <si>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</si>
  <si>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</si>
  <si>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</si>
  <si>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</si>
  <si>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</si>
  <si>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</si>
  <si>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</si>
  <si>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</si>
  <si>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</si>
  <si>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</si>
  <si>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</si>
  <si>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</si>
  <si>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</si>
  <si>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</si>
  <si>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</si>
  <si>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</si>
  <si>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</si>
  <si>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</si>
  <si>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</si>
  <si>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</si>
  <si>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</si>
  <si>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</si>
  <si>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</si>
  <si>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</si>
  <si>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</si>
  <si>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</si>
  <si>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</si>
  <si>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</si>
  <si>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</si>
  <si>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</si>
  <si>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</si>
  <si>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</si>
  <si>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</si>
  <si>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</si>
  <si>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</si>
  <si>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</si>
  <si>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</si>
  <si>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</si>
  <si>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</si>
  <si>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</si>
  <si>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</si>
  <si>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</si>
  <si>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</si>
  <si>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</si>
  <si>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</si>
  <si>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</si>
  <si>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</si>
  <si>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</si>
  <si>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</si>
  <si>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</si>
  <si>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</si>
  <si>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</si>
  <si>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</si>
  <si>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</si>
  <si>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</si>
  <si>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</si>
  <si>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</si>
  <si>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</si>
  <si>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</si>
  <si>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</si>
  <si>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</si>
  <si>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</si>
  <si>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</si>
  <si>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</si>
  <si>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</si>
  <si>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</si>
  <si>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</si>
  <si>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</si>
  <si>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</si>
  <si>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</si>
  <si>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</si>
  <si>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</si>
  <si>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</si>
  <si>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</si>
  <si>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</si>
  <si>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</si>
  <si>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</si>
  <si>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</si>
  <si>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</si>
  <si>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</si>
  <si>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</si>
  <si>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</si>
  <si>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</si>
  <si>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</si>
  <si>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</si>
  <si>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</si>
  <si>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</si>
  <si>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</si>
  <si>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</si>
  <si>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</si>
  <si>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</si>
  <si>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</si>
  <si>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</si>
  <si>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</si>
  <si>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</si>
  <si>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</si>
  <si>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</si>
  <si>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</si>
  <si>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</si>
  <si>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</si>
  <si>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</si>
  <si>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</si>
  <si>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</si>
  <si>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</si>
  <si>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</si>
  <si>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</si>
  <si>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</si>
  <si>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</si>
  <si>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</si>
  <si>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</si>
  <si>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</si>
  <si>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</si>
  <si>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</si>
  <si>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</si>
  <si>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</si>
  <si>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</si>
  <si>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</si>
  <si>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</si>
  <si>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</si>
  <si>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</si>
  <si>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</si>
  <si>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</si>
  <si>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</si>
  <si>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</si>
  <si>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</si>
  <si>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</si>
  <si>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</si>
  <si>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</si>
  <si>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</si>
  <si>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</si>
  <si>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</si>
  <si>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</si>
  <si>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</si>
  <si>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</si>
  <si>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</si>
  <si>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</si>
  <si>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</si>
  <si>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</si>
  <si>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</si>
  <si>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</si>
  <si>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</si>
  <si>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</si>
  <si>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</si>
  <si>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</si>
  <si>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</si>
  <si>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</si>
  <si>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</si>
  <si>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</si>
  <si>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</si>
  <si>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</si>
  <si>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</si>
  <si>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</si>
  <si>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</si>
  <si>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</si>
  <si>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</si>
  <si>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</si>
  <si>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</si>
  <si>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</si>
  <si>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</si>
  <si>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83</t>
  </si>
  <si>
    <t>Сибирцевское городское поселение</t>
  </si>
  <si>
    <t>05653158</t>
  </si>
  <si>
    <t>85</t>
  </si>
  <si>
    <t>87</t>
  </si>
  <si>
    <t>Черниговское сельское поселение</t>
  </si>
  <si>
    <t>05653425</t>
  </si>
  <si>
    <t>88</t>
  </si>
  <si>
    <t>Чугуевский муниципальный округ</t>
  </si>
  <si>
    <t>05555000</t>
  </si>
  <si>
    <t>89</t>
  </si>
  <si>
    <t>90</t>
  </si>
  <si>
    <t>05657000</t>
  </si>
  <si>
    <t>Новонежинское сельское поселение</t>
  </si>
  <si>
    <t>05657413</t>
  </si>
  <si>
    <t>91</t>
  </si>
  <si>
    <t>Подъяпольское сельское поселение</t>
  </si>
  <si>
    <t>05657422</t>
  </si>
  <si>
    <t>92</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</si>
  <si>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</si>
  <si>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</si>
  <si>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</si>
  <si>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</si>
  <si>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</si>
  <si>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</si>
  <si>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</si>
  <si>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</si>
  <si>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</si>
  <si>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</si>
  <si>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Яковлевский муниципальный округ</t>
  </si>
  <si>
    <t>05559000</t>
  </si>
  <si>
    <t>99</t>
  </si>
  <si>
    <t>05659000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</si>
  <si>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</si>
  <si>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</si>
  <si>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</si>
  <si>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</si>
  <si>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</si>
  <si>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</si>
  <si>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</si>
  <si>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</si>
  <si>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</si>
  <si>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</si>
  <si>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</si>
  <si>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</si>
  <si>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</si>
  <si>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</si>
  <si>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</si>
  <si>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</si>
  <si>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</si>
  <si>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</si>
  <si>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</si>
  <si>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</si>
  <si>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</si>
  <si>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</si>
  <si>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</si>
  <si>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</si>
  <si>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</si>
  <si>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7819673285</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</si>
  <si>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</si>
  <si>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19-226/2</t>
  </si>
  <si>
    <t>30.10.2019</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</si>
  <si>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</si>
  <si>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5220468446</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</si>
  <si>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</si>
  <si>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</si>
  <si>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19-183/2</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</si>
  <si>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</si>
  <si>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8208876288</t>
  </si>
  <si>
    <t>Инвестиционная программа краевого
государственного унитарного предприятия
«Примтеплоэнерго», осуществляющее холодное
водоснабжение с использованием централизованных
систем на территории Романовского сельского
поселения Шкотовского муниципального района с
2022 по 2029 годы</t>
  </si>
  <si>
    <t>19-72/2</t>
  </si>
  <si>
    <t>28.02.2024</t>
  </si>
  <si>
    <t>6315079682</t>
  </si>
  <si>
    <t>7542083753</t>
  </si>
  <si>
    <t>19-236/2</t>
  </si>
  <si>
    <t>8281075795</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</si>
  <si>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с 2021 по 2028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</si>
  <si>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</si>
  <si>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3847878097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</si>
  <si>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</si>
  <si>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7856473400</t>
  </si>
  <si>
    <t>Об утверждении новой версии инвестиционной
программы КГУП «Примтеплоэнерго», в сфере водоснабжения и
водоотведения на территории городского округа Спасск-Дальний
на период с 2017 по 2026 годы</t>
  </si>
  <si>
    <t>19-304/2</t>
  </si>
  <si>
    <t>5872451006</t>
  </si>
  <si>
    <t>Об утверждении инвестиционной программы КГУП «Примтеплоэнерго», осуществляющего холодного водоснабжения и водоотведения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</si>
  <si>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5875969125</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</si>
  <si>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</si>
  <si>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5872449848</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</si>
  <si>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Дальнегорского городского округа с 2021 по 2028 годы</t>
  </si>
  <si>
    <t>19-81/2</t>
  </si>
  <si>
    <t>06.03.2020</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</si>
  <si>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Дальнегорского городского округа  на 2021-2028 годы</t>
  </si>
  <si>
    <t>5927426276</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</si>
  <si>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Кавалеровского муниципального района на период с 2021 по 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</si>
  <si>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</si>
  <si>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5872451002</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</si>
  <si>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</si>
  <si>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5872451007</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</si>
  <si>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</si>
  <si>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</si>
  <si>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</si>
  <si>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</si>
  <si>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</si>
  <si>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</si>
  <si>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</si>
  <si>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</si>
  <si>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</si>
  <si>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</si>
  <si>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</si>
  <si>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</si>
  <si>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</si>
  <si>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</si>
  <si>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</si>
  <si>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</si>
  <si>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</si>
  <si>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</si>
  <si>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</si>
  <si>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</si>
  <si>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</si>
  <si>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</si>
  <si>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</si>
  <si>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</si>
  <si>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</si>
  <si>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</si>
  <si>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</si>
  <si>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</si>
  <si>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</si>
  <si>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</si>
  <si>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</si>
  <si>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</si>
  <si>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"Ипполитовский" водозабор (Павловское месторождение подземных вод)</t>
  </si>
  <si>
    <t>с Кремово</t>
  </si>
  <si>
    <t>05620410101</t>
  </si>
  <si>
    <t>ул. Луговая</t>
  </si>
  <si>
    <t>68А</t>
  </si>
  <si>
    <t>13 | Собственность субъектов Российской Федерации</t>
  </si>
  <si>
    <t>хозяйственное ведение</t>
  </si>
  <si>
    <t>эксплуатируется</t>
  </si>
  <si>
    <t>распоряжение</t>
  </si>
  <si>
    <t>629-р</t>
  </si>
  <si>
    <t>23.11.2012</t>
  </si>
  <si>
    <t>https://portal.eias.ru/Portal/DownloadPage.aspx?type=12&amp;guid=bf727dab-9a1f-46b0-92df-a6ace9e1489e</t>
  </si>
  <si>
    <t>240</t>
  </si>
  <si>
    <t>130.5</t>
  </si>
  <si>
    <t>Cкважина №4 с Анучино</t>
  </si>
  <si>
    <t>НС</t>
  </si>
  <si>
    <t>с Анучино</t>
  </si>
  <si>
    <t>05502000101</t>
  </si>
  <si>
    <t>Информация отсутвует</t>
  </si>
  <si>
    <t>14 | Муниципальная собственность</t>
  </si>
  <si>
    <t>аренда</t>
  </si>
  <si>
    <t>договор</t>
  </si>
  <si>
    <t>№25</t>
  </si>
  <si>
    <t>17.03.2014</t>
  </si>
  <si>
    <t>https://portal.eias.ru/Portal/DownloadPage.aspx?type=12&amp;guid=5575056c-6884-47db-b171-6a7c2989347f</t>
  </si>
  <si>
    <t>9.7</t>
  </si>
  <si>
    <t>Cкважина №8 с Анучино</t>
  </si>
  <si>
    <t>Cкважина №9 с Новогордеевка</t>
  </si>
  <si>
    <t>с Нововарваровка</t>
  </si>
  <si>
    <t>05502000151</t>
  </si>
  <si>
    <t>ул. Мира</t>
  </si>
  <si>
    <t>4/1</t>
  </si>
  <si>
    <t>.35</t>
  </si>
  <si>
    <t>с Новогордеевка</t>
  </si>
  <si>
    <t>05502000156</t>
  </si>
  <si>
    <t>Бойлерная пгт Хрустальный</t>
  </si>
  <si>
    <t>пгт Хрустальный</t>
  </si>
  <si>
    <t>05510000056</t>
  </si>
  <si>
    <t>27/0035-13</t>
  </si>
  <si>
    <t>01.04.2013</t>
  </si>
  <si>
    <t>https://portal.eias.ru/Portal/DownloadPage.aspx?type=12&amp;guid=de67f73d-b038-4332-bcbb-cca51574bca2</t>
  </si>
  <si>
    <t>ВНС №2 с Барабаш</t>
  </si>
  <si>
    <t>с Барабаш</t>
  </si>
  <si>
    <t>05548000116</t>
  </si>
  <si>
    <t>ул. Суханова</t>
  </si>
  <si>
    <t>1Б</t>
  </si>
  <si>
    <t>117/0035-12</t>
  </si>
  <si>
    <t>01.06.2012</t>
  </si>
  <si>
    <t>6.05</t>
  </si>
  <si>
    <t>ВНС №3 г Фокино</t>
  </si>
  <si>
    <t>г Фокино</t>
  </si>
  <si>
    <t>05747000001</t>
  </si>
  <si>
    <t>ул. Дальняя</t>
  </si>
  <si>
    <t>Городской округ ЗАТО Фокино</t>
  </si>
  <si>
    <t>свидетельство</t>
  </si>
  <si>
    <t>25-АВ 267003</t>
  </si>
  <si>
    <t>14.08.2014</t>
  </si>
  <si>
    <t>https://portal.eias.ru/Portal/DownloadPage.aspx?type=12&amp;guid=69f55f6a-0dce-4714-8499-b01418d4eed8</t>
  </si>
  <si>
    <t>300</t>
  </si>
  <si>
    <t>ВНС №7 п Дунай</t>
  </si>
  <si>
    <t>п Дунай</t>
  </si>
  <si>
    <t>05747000056</t>
  </si>
  <si>
    <t>ул. Ленина</t>
  </si>
  <si>
    <t>15А</t>
  </si>
  <si>
    <t>25-АВ 267008</t>
  </si>
  <si>
    <t>https://portal.eias.ru/Portal/DownloadPage.aspx?type=12&amp;guid=fff2370c-3426-41aa-bcdc-1830ba0770b1</t>
  </si>
  <si>
    <t>ВНС №9 г Фокино</t>
  </si>
  <si>
    <t>ул. Карла Маркса</t>
  </si>
  <si>
    <t>25-АВ 267006</t>
  </si>
  <si>
    <t>https://portal.eias.ru/Portal/DownloadPage.aspx?type=12&amp;guid=11cd993b-56b9-48a5-aead-f306d6cc48e0</t>
  </si>
  <si>
    <t>ВНС пгт Приморский</t>
  </si>
  <si>
    <t>пгт Приморский</t>
  </si>
  <si>
    <t>05548000071</t>
  </si>
  <si>
    <t>ул. Гагарина</t>
  </si>
  <si>
    <t>114/0035-12</t>
  </si>
  <si>
    <t>01.03.2012</t>
  </si>
  <si>
    <t>30.75</t>
  </si>
  <si>
    <t>ВНС с Занадворовка</t>
  </si>
  <si>
    <t>с Занадворовка</t>
  </si>
  <si>
    <t>05548000141</t>
  </si>
  <si>
    <t>ВНС-1 с Романовка</t>
  </si>
  <si>
    <t>157А</t>
  </si>
  <si>
    <t>03/2013</t>
  </si>
  <si>
    <t>05.04.2013</t>
  </si>
  <si>
    <t>23.72</t>
  </si>
  <si>
    <t>05657425101</t>
  </si>
  <si>
    <t>ВНС-2 пгт Краскино</t>
  </si>
  <si>
    <t>пгт Краскино</t>
  </si>
  <si>
    <t>05548000061</t>
  </si>
  <si>
    <t>ул. Колхозная</t>
  </si>
  <si>
    <t>273/0035-14</t>
  </si>
  <si>
    <t>21.10.2014</t>
  </si>
  <si>
    <t>ВНС-2 пгт Новошахтинский</t>
  </si>
  <si>
    <t>пгт Новошахтинский</t>
  </si>
  <si>
    <t>05620154051</t>
  </si>
  <si>
    <t>405</t>
  </si>
  <si>
    <t>Вишневский гидроузел</t>
  </si>
  <si>
    <t>г Спасск-Дальний</t>
  </si>
  <si>
    <t>05720000001</t>
  </si>
  <si>
    <t>ул. Пионерская</t>
  </si>
  <si>
    <t>№628/0065-12</t>
  </si>
  <si>
    <t>30.01.2012</t>
  </si>
  <si>
    <t>https://portal.eias.ru/Portal/DownloadPage.aspx?type=12&amp;guid=7bb206d5-c87d-415f-8277-1a661e84e681</t>
  </si>
  <si>
    <t>1041.66</t>
  </si>
  <si>
    <t>281.96</t>
  </si>
  <si>
    <t>315</t>
  </si>
  <si>
    <t>Водозабор на оз Васьковское</t>
  </si>
  <si>
    <t>НС с ОС и сетями</t>
  </si>
  <si>
    <t>с Рудная Пристань</t>
  </si>
  <si>
    <t>05707000116</t>
  </si>
  <si>
    <t>нет информации</t>
  </si>
  <si>
    <t>25-АВ 327940</t>
  </si>
  <si>
    <t>19.01.2015</t>
  </si>
  <si>
    <t>https://portal.eias.ru/Portal/DownloadPage.aspx?type=12&amp;guid=c387a2e3-714d-49a3-92d0-f7379ed2c878</t>
  </si>
  <si>
    <t>19.83</t>
  </si>
  <si>
    <t>Водонапорная башня №1 с Искра</t>
  </si>
  <si>
    <t>с Искра</t>
  </si>
  <si>
    <t>05553000112</t>
  </si>
  <si>
    <t>ул. Совхозная</t>
  </si>
  <si>
    <t>5А</t>
  </si>
  <si>
    <t>№172/0035-15</t>
  </si>
  <si>
    <t>17.04.2015</t>
  </si>
  <si>
    <t>https://portal.eias.ru/Portal/DownloadPage.aspx?type=12&amp;guid=720b653d-6db0-41e8-9b11-b10ba9b42157</t>
  </si>
  <si>
    <t>6.5</t>
  </si>
  <si>
    <t>05653410106</t>
  </si>
  <si>
    <t>Водопроводная сеть ж/д ст Варфоломеевка</t>
  </si>
  <si>
    <t>сеть</t>
  </si>
  <si>
    <t>с Варфоломеевка</t>
  </si>
  <si>
    <t>05559000104</t>
  </si>
  <si>
    <t>ул.Почтовая</t>
  </si>
  <si>
    <t>https://portal.eias.ru/Portal/DownloadPage.aspx?type=12&amp;guid=db463a1d-32b7-4858-a309-d14719a72197</t>
  </si>
  <si>
    <t>№6</t>
  </si>
  <si>
    <t>15.12.2020</t>
  </si>
  <si>
    <t>3.07</t>
  </si>
  <si>
    <t>05659407101</t>
  </si>
  <si>
    <t>Водопроводные сети ж/дстанция Сухановка</t>
  </si>
  <si>
    <t>ж/д ст Сухановка</t>
  </si>
  <si>
    <t>05548000246</t>
  </si>
  <si>
    <t>муниципальное имущество</t>
  </si>
  <si>
    <t>собственное имущество</t>
  </si>
  <si>
    <t>https://portal.eias.ru/Portal/DownloadPage.aspx?type=12&amp;guid=582fe720-42fd-49a3-9e79-5556ca63259f</t>
  </si>
  <si>
    <t>3.25</t>
  </si>
  <si>
    <t>3.025</t>
  </si>
  <si>
    <t>Водопроводные сети п Путятин</t>
  </si>
  <si>
    <t>п Путятин</t>
  </si>
  <si>
    <t>05747000061</t>
  </si>
  <si>
    <t>ул. Озерная</t>
  </si>
  <si>
    <t>4Б</t>
  </si>
  <si>
    <t>21.11.2012</t>
  </si>
  <si>
    <t>16.8</t>
  </si>
  <si>
    <t>2.34</t>
  </si>
  <si>
    <t>Волчанецкий гидроузел</t>
  </si>
  <si>
    <t>432-ри</t>
  </si>
  <si>
    <t>08.12.2016</t>
  </si>
  <si>
    <t>https://portal.eias.ru/Portal/DownloadPage.aspx?type=12&amp;guid=866cce80-1233-4b1c-80be-1fffa5e20db1</t>
  </si>
  <si>
    <t>1250</t>
  </si>
  <si>
    <t>585.81</t>
  </si>
  <si>
    <t>Галерейный водозабор на р Ключе Сухой</t>
  </si>
  <si>
    <t>с Краснореченский</t>
  </si>
  <si>
    <t>05707000111</t>
  </si>
  <si>
    <t>ул. Новая</t>
  </si>
  <si>
    <t>25-АВ 327778</t>
  </si>
  <si>
    <t>https://portal.eias.ru/Portal/DownloadPage.aspx?type=12&amp;guid=0a07d488-d345-4e7b-a7e2-6da143e49f2c</t>
  </si>
  <si>
    <t>66.16</t>
  </si>
  <si>
    <t>Галерея под железнодорожными путями ж/д станция Сухановка. ВНС ж/д ст. Сухановка</t>
  </si>
  <si>
    <t>б/н</t>
  </si>
  <si>
    <t>Гидроузел в пади 27 Ключ</t>
  </si>
  <si>
    <t>г Дальнегорск</t>
  </si>
  <si>
    <t>05707000001</t>
  </si>
  <si>
    <t>г. Дальнегорск, 1500 м на юго-запад от 369 км.+800 м. государственной дороги "Осиновка-Рудная Пристань"</t>
  </si>
  <si>
    <t>25-АВ 327946</t>
  </si>
  <si>
    <t>https://portal.eias.ru/Portal/DownloadPage.aspx?type=12&amp;guid=6238c0e8-3d26-44cb-8da5-06f42116e24e</t>
  </si>
  <si>
    <t>400</t>
  </si>
  <si>
    <t>388</t>
  </si>
  <si>
    <t>800</t>
  </si>
  <si>
    <t>532</t>
  </si>
  <si>
    <t>151/0035-18</t>
  </si>
  <si>
    <t>01.04.2018</t>
  </si>
  <si>
    <t>https://portal.eias.ru/Portal/DownloadPage.aspx?type=12&amp;guid=2f455a1c-bf59-4089-ae4f-5ca06eedff3a</t>
  </si>
  <si>
    <t>.76</t>
  </si>
  <si>
    <t>05653419101</t>
  </si>
  <si>
    <t>Групповой водозабор (скважина "Верхняя", "Садовая") с Вассиановка</t>
  </si>
  <si>
    <t>с Вассиановка</t>
  </si>
  <si>
    <t>05553000107</t>
  </si>
  <si>
    <t>ул. Верхняя</t>
  </si>
  <si>
    <t>32А</t>
  </si>
  <si>
    <t>.56</t>
  </si>
  <si>
    <t>05653419111</t>
  </si>
  <si>
    <t>Групповой скважинный водозабор "Графский"</t>
  </si>
  <si>
    <t>г Дальнереченск</t>
  </si>
  <si>
    <t>05708000001</t>
  </si>
  <si>
    <t>ул. Графская</t>
  </si>
  <si>
    <t>176/0035-14</t>
  </si>
  <si>
    <t>08.08.2014</t>
  </si>
  <si>
    <t>1.85</t>
  </si>
  <si>
    <t>Групповой скважинный водозабор п Посьет</t>
  </si>
  <si>
    <t>пгт Посьет</t>
  </si>
  <si>
    <t>05548000065</t>
  </si>
  <si>
    <t>ул. Станционная</t>
  </si>
  <si>
    <t>116/0035-12</t>
  </si>
  <si>
    <t>5.8</t>
  </si>
  <si>
    <t>Групповой скважинный водозабор пгт Краскино</t>
  </si>
  <si>
    <t>36.9</t>
  </si>
  <si>
    <t>Групповой скважинный водозабор с Барабаш</t>
  </si>
  <si>
    <t>22А</t>
  </si>
  <si>
    <t>Групповой скважинный водозабор с Реттиховка (скв. №№238,239,245)</t>
  </si>
  <si>
    <t>п Реттиховка</t>
  </si>
  <si>
    <t>05553000102</t>
  </si>
  <si>
    <t>ул. Увальная</t>
  </si>
  <si>
    <t>безвозмездное пользование</t>
  </si>
  <si>
    <t>151/0035-15</t>
  </si>
  <si>
    <t>18.12.2014</t>
  </si>
  <si>
    <t>https://portal.eias.ru/Portal/DownloadPage.aspx?type=12&amp;guid=fd64d2b1-5de1-4134-a060-82b05afa2213</t>
  </si>
  <si>
    <t>24.66</t>
  </si>
  <si>
    <t>8.5</t>
  </si>
  <si>
    <t>05653422101</t>
  </si>
  <si>
    <t>Гшалерейный водозабор на р Ключ Арзамасовский</t>
  </si>
  <si>
    <t>ул. Ключевая</t>
  </si>
  <si>
    <t>25-АВ 327777</t>
  </si>
  <si>
    <t>https://portal.eias.ru/Portal/DownloadPage.aspx?type=12&amp;guid=97b4b35f-7800-4e6c-8c37-dd5494a7f165</t>
  </si>
  <si>
    <t>130</t>
  </si>
  <si>
    <t>12.44</t>
  </si>
  <si>
    <t>Здание - водозаборно-очистное сооружение (водозабор "Дальнереченский")</t>
  </si>
  <si>
    <t>ОС</t>
  </si>
  <si>
    <t>Приморский край, г. Дальнереченск, ул. Краснофлотская</t>
  </si>
  <si>
    <t>18д</t>
  </si>
  <si>
    <t>частная собственность</t>
  </si>
  <si>
    <t>https://portal.eias.ru/Portal/DownloadPage.aspx?type=12&amp;guid=48533c0d-c36b-459b-8d5d-98a9678011a7</t>
  </si>
  <si>
    <t>06/0035-21</t>
  </si>
  <si>
    <t>20.09.2021</t>
  </si>
  <si>
    <t>200</t>
  </si>
  <si>
    <t>121.86</t>
  </si>
  <si>
    <t>Зона водоснабжения №1 (скв. №№932а, 1405, 1405а, 1896, 10056, 10058)</t>
  </si>
  <si>
    <t>с Черниговка</t>
  </si>
  <si>
    <t>05553000101</t>
  </si>
  <si>
    <t>93А</t>
  </si>
  <si>
    <t>28.7</t>
  </si>
  <si>
    <t>05653425101</t>
  </si>
  <si>
    <t>Зона водоснабжения №2 (скв. №369а, №б/н)</t>
  </si>
  <si>
    <t>ул. Партизанская</t>
  </si>
  <si>
    <t>124Д</t>
  </si>
  <si>
    <t>.82</t>
  </si>
  <si>
    <t>Зона водоснабжения №3 (скв. №1296) с Черниговка</t>
  </si>
  <si>
    <t>ул. Буденного</t>
  </si>
  <si>
    <t>.24</t>
  </si>
  <si>
    <t>Зона водоснабжения №7 (скважина "Крупозавод")</t>
  </si>
  <si>
    <t>ул. Крупозавод</t>
  </si>
  <si>
    <t>3А</t>
  </si>
  <si>
    <t>.5</t>
  </si>
  <si>
    <t>1.04</t>
  </si>
  <si>
    <t>Зона водоснабжения №8 (скв. №б/н)</t>
  </si>
  <si>
    <t>195А</t>
  </si>
  <si>
    <t>.58</t>
  </si>
  <si>
    <t>Имущественный комплекс "Здание-водозабор пгт. Зарубино"</t>
  </si>
  <si>
    <t>пгт Зарубино</t>
  </si>
  <si>
    <t>05548000056</t>
  </si>
  <si>
    <t>ул. Морская</t>
  </si>
  <si>
    <t>дом 6</t>
  </si>
  <si>
    <t>35.13</t>
  </si>
  <si>
    <t>62.5</t>
  </si>
  <si>
    <t>69.88</t>
  </si>
  <si>
    <t>Имущественный комплекс Здание-насосная станция, расположенный по  адресу: пгт. Хасан в 2045 м по направлению на северо-запад от дома № 6 по ул. Мошляка</t>
  </si>
  <si>
    <t>пгт Хасан</t>
  </si>
  <si>
    <t>05548000076</t>
  </si>
  <si>
    <t>https://portal.eias.ru/Portal/DownloadPage.aspx?type=12&amp;guid=def08269-5260-4d85-a97c-514af433a6d0</t>
  </si>
  <si>
    <t>10.38</t>
  </si>
  <si>
    <t>пгт. Хасан в 2045 м по направлению на северо-запад от дома № 6 по ул. Мошляка</t>
  </si>
  <si>
    <t>Имущественный комплекс Здания для водоочистных сооружений" пгт.Хасан в 890 м по направлению на северо-запад от дома № 6 по ул. Мошляка</t>
  </si>
  <si>
    <t>Комбинированный водозабор на реке Ключе Кривой</t>
  </si>
  <si>
    <t>с Сержантово</t>
  </si>
  <si>
    <t>05707000121</t>
  </si>
  <si>
    <t>ул. Линейная</t>
  </si>
  <si>
    <t>25-АВ 327784</t>
  </si>
  <si>
    <t>https://portal.eias.ru/Portal/DownloadPage.aspx?type=12&amp;guid=bea1d3ec-d574-4933-83e2-24fc713d52ab</t>
  </si>
  <si>
    <t>НС-1 г Дальнереченск</t>
  </si>
  <si>
    <t>18и</t>
  </si>
  <si>
    <t>НС-2 "Лазо" г Спасск-Дальний</t>
  </si>
  <si>
    <t>№630/0065-12</t>
  </si>
  <si>
    <t>НС-2 "Рынок" г Спасск-Дальний</t>
  </si>
  <si>
    <t>https://portal.eias.ru/Portal/DownloadPage.aspx?type=12&amp;guid=c2b5d807-4589-4a61-9a9a-9755709d761d</t>
  </si>
  <si>
    <t>НС-2 с Безверхово</t>
  </si>
  <si>
    <t>с Безверхово</t>
  </si>
  <si>
    <t>05548000121</t>
  </si>
  <si>
    <t>111/0035-12</t>
  </si>
  <si>
    <t>НС-3 (ВОС) г Спасск-Дальний</t>
  </si>
  <si>
    <t>ул. Красногвардейская</t>
  </si>
  <si>
    <t>900</t>
  </si>
  <si>
    <t>218.96</t>
  </si>
  <si>
    <t>НС-I п.Горнореченский</t>
  </si>
  <si>
    <t>п Горнореченский</t>
  </si>
  <si>
    <t>05510000106</t>
  </si>
  <si>
    <t>ул. Советская</t>
  </si>
  <si>
    <t>18А</t>
  </si>
  <si>
    <t>176.8763586957</t>
  </si>
  <si>
    <t>176.88</t>
  </si>
  <si>
    <t>Насосная 2-го подъема пгт Кавалерово</t>
  </si>
  <si>
    <t>пгт Кавалерово</t>
  </si>
  <si>
    <t>05510000051</t>
  </si>
  <si>
    <t>180</t>
  </si>
  <si>
    <t>106.13</t>
  </si>
  <si>
    <t>Насосная №8 пгт Хрустальный</t>
  </si>
  <si>
    <t>Насосная второго подъема "Обезжелезивания" г Спасск-Дальний</t>
  </si>
  <si>
    <t>ул. Силикатная</t>
  </si>
  <si>
    <t>1в</t>
  </si>
  <si>
    <t>Насосная п Рудный (водозабор "Парковый")</t>
  </si>
  <si>
    <t>п Рудный</t>
  </si>
  <si>
    <t>05510000111</t>
  </si>
  <si>
    <t>34.17</t>
  </si>
  <si>
    <t>12.26</t>
  </si>
  <si>
    <t>Насосная с Зеркальное</t>
  </si>
  <si>
    <t>с Зеркальное</t>
  </si>
  <si>
    <t>05510000126</t>
  </si>
  <si>
    <t>8.3</t>
  </si>
  <si>
    <t>4.43</t>
  </si>
  <si>
    <t>Насосная с Устиновка</t>
  </si>
  <si>
    <t>с Устиновка</t>
  </si>
  <si>
    <t>05510000141</t>
  </si>
  <si>
    <t>ул. Центральная</t>
  </si>
  <si>
    <t>.41</t>
  </si>
  <si>
    <t>Насосная станция I с Глубинное</t>
  </si>
  <si>
    <t>с Глубинное</t>
  </si>
  <si>
    <t>05514000105</t>
  </si>
  <si>
    <t>ул. Коммунаров</t>
  </si>
  <si>
    <t>8А</t>
  </si>
  <si>
    <t>177/0035-14</t>
  </si>
  <si>
    <t>01.06.2014</t>
  </si>
  <si>
    <t>https://portal.eias.ru/Portal/DownloadPage.aspx?type=12&amp;guid=41d7467b-8dc7-48e7-a42e-3dc9391b27a9</t>
  </si>
  <si>
    <t>05614408101</t>
  </si>
  <si>
    <t>Насосная станция №482 с Барабаш (в/г)</t>
  </si>
  <si>
    <t>Военный городок</t>
  </si>
  <si>
    <t>№1</t>
  </si>
  <si>
    <t>https://portal.eias.ru/Portal/DownloadPage.aspx?type=12&amp;guid=5418e0ce-7362-4a7c-9a59-f75390377fbb</t>
  </si>
  <si>
    <t>Насосная станция №530 с Барабаш (в/г)</t>
  </si>
  <si>
    <t>Насосная станция №633 с Барабаш (в/г)</t>
  </si>
  <si>
    <t>Насосная станция №646 с Барабаш (в/г)</t>
  </si>
  <si>
    <t>Нежданскинский гидроузел</t>
  </si>
  <si>
    <t>г.Дальнегорск, в/х "Нежданка"</t>
  </si>
  <si>
    <t>25-АВ 327935</t>
  </si>
  <si>
    <t>https://portal.eias.ru/Portal/DownloadPage.aspx?type=12&amp;guid=fdd78df5-ea5a-450b-8f0a-e62160f700ff</t>
  </si>
  <si>
    <t>1380</t>
  </si>
  <si>
    <t>1940</t>
  </si>
  <si>
    <t>Объединенные зоны водоснабжения №№4, 5, 6 (скв. "Пушкинская", "Проточная", №3-ПР)</t>
  </si>
  <si>
    <t>ул. Пушкинская</t>
  </si>
  <si>
    <t>60А</t>
  </si>
  <si>
    <t>4.52</t>
  </si>
  <si>
    <t>Подземный водозабор (ДЭУ) с Романовка</t>
  </si>
  <si>
    <t>ул. Садовая</t>
  </si>
  <si>
    <t>176А</t>
  </si>
  <si>
    <t>Подземный водозабор с Каменка</t>
  </si>
  <si>
    <t>с Каменка</t>
  </si>
  <si>
    <t>05707000106</t>
  </si>
  <si>
    <t>ул. Заречная</t>
  </si>
  <si>
    <t>25-АВ 327779</t>
  </si>
  <si>
    <t>https://portal.eias.ru/Portal/DownloadPage.aspx?type=12&amp;guid=378996aa-98cb-40a0-b17f-305e052dc832</t>
  </si>
  <si>
    <t>9.87</t>
  </si>
  <si>
    <t>Подземный водозабор с Мономахово</t>
  </si>
  <si>
    <t>д Мономахово</t>
  </si>
  <si>
    <t>05707000131</t>
  </si>
  <si>
    <t>ул. Москалюк</t>
  </si>
  <si>
    <t>378-ри</t>
  </si>
  <si>
    <t>30.06.2014</t>
  </si>
  <si>
    <t>https://portal.eias.ru/Portal/DownloadPage.aspx?type=12&amp;guid=404a8f1a-7470-4f2a-bf5b-c349314cd467</t>
  </si>
  <si>
    <t>Подземный галерейный водозабор "Тихоокеанский" на р Прмысловка</t>
  </si>
  <si>
    <t>320</t>
  </si>
  <si>
    <t>Поселковая насосная п Горнореченский</t>
  </si>
  <si>
    <t>ул. Строительная</t>
  </si>
  <si>
    <t>32/2</t>
  </si>
  <si>
    <t>17.69</t>
  </si>
  <si>
    <t>Русловой водозабор на реке Рудная</t>
  </si>
  <si>
    <t>ул. Лесная</t>
  </si>
  <si>
    <t>25-АВ 327942</t>
  </si>
  <si>
    <t>https://portal.eias.ru/Portal/DownloadPage.aspx?type=12&amp;guid=2cc85248-01f5-40c4-99da-0670fc9edb22</t>
  </si>
  <si>
    <t>195</t>
  </si>
  <si>
    <t>Сети водоснабжения г Спасск-Дальний</t>
  </si>
  <si>
    <t>ул. Коммунальная</t>
  </si>
  <si>
    <t>Сети водоснабжения пгт. Зарубино</t>
  </si>
  <si>
    <t>Сети водоснабжения с Анучино</t>
  </si>
  <si>
    <t>пер. Торговый</t>
  </si>
  <si>
    <t>Сети водоснабжения с Барабаш (в/г)</t>
  </si>
  <si>
    <t>Сети водоснабжения с Дмитриевка</t>
  </si>
  <si>
    <t>с Дмитриевка</t>
  </si>
  <si>
    <t>05553000111</t>
  </si>
  <si>
    <t>https://portal.eias.ru/Portal/DownloadPage.aspx?type=12&amp;guid=b65382a7-1fd8-49fc-ae8c-df9a3b749061</t>
  </si>
  <si>
    <t>05653410101</t>
  </si>
  <si>
    <t>Сети водоснабжения с Искра</t>
  </si>
  <si>
    <t>ул. Совхозная, Центральная, Безымянная</t>
  </si>
  <si>
    <t>Сети водоснабжения с Новогордеевка</t>
  </si>
  <si>
    <t>Скв. №18-811 ж/д ст Варфоломеевка</t>
  </si>
  <si>
    <t>Скв. №18763 ж/д ст. Варфоломеевка</t>
  </si>
  <si>
    <t>ул.Школьная</t>
  </si>
  <si>
    <t>17а</t>
  </si>
  <si>
    <t>.2</t>
  </si>
  <si>
    <t>Скважина №1 (№7032) с Безверхово</t>
  </si>
  <si>
    <t>Скважина №1 пгт Краскино</t>
  </si>
  <si>
    <t>ул. Калинина</t>
  </si>
  <si>
    <t>Скважина №1 с Искра</t>
  </si>
  <si>
    <t>Скважина №1054 п Путятин</t>
  </si>
  <si>
    <t>ул Луговая</t>
  </si>
  <si>
    <t>5Б</t>
  </si>
  <si>
    <t>Скважина №11 г Спасск-Дальний</t>
  </si>
  <si>
    <t>ул. Маяковского</t>
  </si>
  <si>
    <t>22/1</t>
  </si>
  <si>
    <t>18.18</t>
  </si>
  <si>
    <t>Скважина №11215 с Павловка</t>
  </si>
  <si>
    <t>с Павловка</t>
  </si>
  <si>
    <t>05620154106</t>
  </si>
  <si>
    <t>25-АВ 994809</t>
  </si>
  <si>
    <t>31.05.2013</t>
  </si>
  <si>
    <t>Скважина №12 г Спасск-Дальний</t>
  </si>
  <si>
    <t>ул. Шолохова</t>
  </si>
  <si>
    <t>Скважина №15 с Меркушевка</t>
  </si>
  <si>
    <t>с Меркушевка</t>
  </si>
  <si>
    <t>05553000115</t>
  </si>
  <si>
    <t>8.04</t>
  </si>
  <si>
    <t>05653410116</t>
  </si>
  <si>
    <t>Скважина №183 с Синий Гай</t>
  </si>
  <si>
    <t>с Синий Гай</t>
  </si>
  <si>
    <t>05553000118</t>
  </si>
  <si>
    <t>ул .Советская</t>
  </si>
  <si>
    <t>24.12</t>
  </si>
  <si>
    <t>05653410121</t>
  </si>
  <si>
    <t>Скважина №1879 п Путятин</t>
  </si>
  <si>
    <t>Скважина №2 (№18-978) с Безверхово</t>
  </si>
  <si>
    <t>6А</t>
  </si>
  <si>
    <t>Скважина №21 г Спасск-Дальний</t>
  </si>
  <si>
    <t>120</t>
  </si>
  <si>
    <t>23.87</t>
  </si>
  <si>
    <t>Скважина №23 г Спасск-Дальний</t>
  </si>
  <si>
    <t>26.87</t>
  </si>
  <si>
    <t>Скважина №26 г Спасск-Дальний</t>
  </si>
  <si>
    <t>Скважина №3 (18-221) с Безверхово</t>
  </si>
  <si>
    <t>Скважина №4 (№1822/8126) с Перевозная</t>
  </si>
  <si>
    <t>с Перевозная</t>
  </si>
  <si>
    <t>05548000176</t>
  </si>
  <si>
    <t>3А/4</t>
  </si>
  <si>
    <t>Скважина №475 с Дмитриевка</t>
  </si>
  <si>
    <t>Скважина №488 с Майское</t>
  </si>
  <si>
    <t>с Майское</t>
  </si>
  <si>
    <t>05553000114</t>
  </si>
  <si>
    <t>ул. 60 лет Октября</t>
  </si>
  <si>
    <t>8.35</t>
  </si>
  <si>
    <t>05653410111</t>
  </si>
  <si>
    <t>Скважина №688 с Дмитриевка</t>
  </si>
  <si>
    <t>27А</t>
  </si>
  <si>
    <t>25.55</t>
  </si>
  <si>
    <t>Скважина №7172 с Дмитриевка</t>
  </si>
  <si>
    <t>Скважина №7331 с Реттиховка</t>
  </si>
  <si>
    <t>ул. Железнодорожная</t>
  </si>
  <si>
    <t>23.75</t>
  </si>
  <si>
    <t>Скважина №8 "Шиферный" г Спасск-Дальний</t>
  </si>
  <si>
    <t>ул. Чернышевского</t>
  </si>
  <si>
    <t>45.74</t>
  </si>
  <si>
    <t>Скважина №842 г Спасск-Дальний</t>
  </si>
  <si>
    <t>112, кор. 3</t>
  </si>
  <si>
    <t>Скважина №889 с Павловка</t>
  </si>
  <si>
    <t>25-АВ 994841</t>
  </si>
  <si>
    <t>https://portal.eias.ru/Portal/DownloadPage.aspx?type=12&amp;guid=ea67a359-8d30-4ecb-bfa5-67880c4dc6cf</t>
  </si>
  <si>
    <t>Скважина В-794 г Спасск-Дальний</t>
  </si>
  <si>
    <t>Скважина П18-91 г Спасск-Дальний</t>
  </si>
  <si>
    <t>ул. Силикатный</t>
  </si>
  <si>
    <t>8/3</t>
  </si>
  <si>
    <t>17.2</t>
  </si>
  <si>
    <t>Скважина ПР-153 г Спасск-Дальний</t>
  </si>
  <si>
    <t>Скважина ПР-156 г Спасск-Дальний</t>
  </si>
  <si>
    <t>с Спасское</t>
  </si>
  <si>
    <t>05637440101</t>
  </si>
  <si>
    <t>ул. Спасская</t>
  </si>
  <si>
    <t>№629/0065-12</t>
  </si>
  <si>
    <t>https://portal.eias.ru/Portal/DownloadPage.aspx?type=12&amp;guid=27a9d393-54bc-4ce3-8297-d2befd8f2dc3</t>
  </si>
  <si>
    <t>Скважина б/н с Абражеевка</t>
  </si>
  <si>
    <t>с Абражеевка</t>
  </si>
  <si>
    <t>05553000104</t>
  </si>
  <si>
    <t>33Б</t>
  </si>
  <si>
    <t>.39</t>
  </si>
  <si>
    <t>05653419106</t>
  </si>
  <si>
    <t>Скважина б/н с Многоудобное</t>
  </si>
  <si>
    <t>с Многоудобное</t>
  </si>
  <si>
    <t>05557000107</t>
  </si>
  <si>
    <t>ул. Первомайская</t>
  </si>
  <si>
    <t>281/0035-13</t>
  </si>
  <si>
    <t>10.12.2013</t>
  </si>
  <si>
    <t>05657432106</t>
  </si>
  <si>
    <t>Сооружение - водопроводная сеть г Дальнереченск</t>
  </si>
  <si>
    <t>Приморский край, г. Дальнереченск</t>
  </si>
  <si>
    <t>52.5</t>
  </si>
  <si>
    <t>Сооружение - водопроводная сеть п ЛДК</t>
  </si>
  <si>
    <t>Приморский край, г. Дальнереченск (ЛДК)</t>
  </si>
  <si>
    <t>Сооружение-комплекс (ВОС п ЛДК)</t>
  </si>
  <si>
    <t>Приморский край, г.Дальнереченск, к северо-западу от ЛДК на расстоянии 1,5 км от дома № 1 по ул. Проточной</t>
  </si>
  <si>
    <t>Сооружение-комплекс (водозабор "Вагутонский")</t>
  </si>
  <si>
    <t>Приморский край, г. Дальнереченск, ул. Проточная</t>
  </si>
  <si>
    <t>1а</t>
  </si>
  <si>
    <t>233.34</t>
  </si>
  <si>
    <t>Сооружение-сети водоснабжения пгт.Хасан</t>
  </si>
  <si>
    <t>15.03.2012</t>
  </si>
  <si>
    <t>Станция обезжелезивания пгт Новошахтинский</t>
  </si>
  <si>
    <t>25-АБ 994803</t>
  </si>
  <si>
    <t>https://portal.eias.ru/Portal/DownloadPage.aspx?type=12&amp;guid=8ed15ff8-636a-4af4-9565-96d5090b94c6</t>
  </si>
  <si>
    <t>Станция стабилизации с Кремово</t>
  </si>
  <si>
    <t>25-АБ 994806</t>
  </si>
  <si>
    <t>https://portal.eias.ru/Portal/DownloadPage.aspx?type=12&amp;guid=2854a4f3-ee18-4643-9e2f-2bd6ae131de9</t>
  </si>
  <si>
    <t>450</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</si>
  <si>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</si>
  <si>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</si>
  <si>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</si>
  <si>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</si>
  <si>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</si>
  <si>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</si>
  <si>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</si>
  <si>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</si>
  <si>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</si>
  <si>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</si>
  <si>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</si>
  <si>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</si>
  <si>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</si>
  <si>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ID_TARIFF_NAME</t>
  </si>
  <si>
    <t>TARIFF_NAME</t>
  </si>
  <si>
    <t>VED_NAME</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</si>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</sst>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1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22"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63" xfId="0" applyFont="1" applyFill="1" applyBorder="1" applyNumberFormat="1">
      <alignment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a815418-fcf1-4166-bcb4-ce940ebd3857" TargetMode="External"/><Relationship Id="rId2" Type="http://schemas.openxmlformats.org/officeDocument/2006/relationships/hyperlink" Target="https://portal.eias.ru/Portal/DownloadPage.aspx?type=12&amp;guid=fa815418-fcf1-4166-bcb4-ce940ebd3857" TargetMode="External"/><Relationship Id="rId3" Type="http://schemas.openxmlformats.org/officeDocument/2006/relationships/hyperlink" Target="https://portal.eias.ru/Portal/DownloadPage.aspx?type=12&amp;guid=fa815418-fcf1-4166-bcb4-ce940ebd3857" TargetMode="External"/><Relationship Id="rId4" Type="http://schemas.openxmlformats.org/officeDocument/2006/relationships/hyperlink" Target="https://portal.eias.ru/Portal/DownloadPage.aspx?type=12&amp;guid=fa815418-fcf1-4166-bcb4-ce940ebd3857" TargetMode="External"/><Relationship Id="rId5" Type="http://schemas.openxmlformats.org/officeDocument/2006/relationships/hyperlink" Target="https://portal.eias.ru/Portal/DownloadPage.aspx?type=12&amp;guid=fa815418-fcf1-4166-bcb4-ce940ebd3857" TargetMode="External"/><Relationship Id="rId6" Type="http://schemas.openxmlformats.org/officeDocument/2006/relationships/hyperlink" Target="https://portal.eias.ru/Portal/DownloadPage.aspx?type=12&amp;guid=fa815418-fcf1-4166-bcb4-ce940ebd3857" TargetMode="External"/><Relationship Id="rId7" Type="http://schemas.openxmlformats.org/officeDocument/2006/relationships/hyperlink" Target="https://portal.eias.ru/Portal/DownloadPage.aspx?type=12&amp;guid=fa815418-fcf1-4166-bcb4-ce940ebd3857" TargetMode="External"/><Relationship Id="rId8" Type="http://schemas.openxmlformats.org/officeDocument/2006/relationships/hyperlink" Target="https://portal.eias.ru/Portal/DownloadPage.aspx?type=12&amp;guid=fa815418-fcf1-4166-bcb4-ce940ebd3857" TargetMode="External"/><Relationship Id="rId9" Type="http://schemas.openxmlformats.org/officeDocument/2006/relationships/hyperlink" Target="https://portal.eias.ru/Portal/DownloadPage.aspx?type=12&amp;guid=fa815418-fcf1-4166-bcb4-ce940ebd3857" TargetMode="External"/><Relationship Id="rId10" Type="http://schemas.openxmlformats.org/officeDocument/2006/relationships/hyperlink" Target="https://portal.eias.ru/Portal/DownloadPage.aspx?type=12&amp;guid=fa815418-fcf1-4166-bcb4-ce940ebd3857" TargetMode="External"/><Relationship Id="rId11" Type="http://schemas.openxmlformats.org/officeDocument/2006/relationships/hyperlink" Target="https://portal.eias.ru/Portal/DownloadPage.aspx?type=12&amp;guid=fa815418-fcf1-4166-bcb4-ce940ebd3857" TargetMode="External"/><Relationship Id="rId12" Type="http://schemas.openxmlformats.org/officeDocument/2006/relationships/hyperlink" Target="https://portal.eias.ru/Portal/DownloadPage.aspx?type=12&amp;guid=fa815418-fcf1-4166-bcb4-ce940ebd3857" TargetMode="External"/><Relationship Id="rId13" Type="http://schemas.openxmlformats.org/officeDocument/2006/relationships/hyperlink" Target="https://portal.eias.ru/Portal/DownloadPage.aspx?type=12&amp;guid=fa815418-fcf1-4166-bcb4-ce940ebd3857" TargetMode="External"/><Relationship Id="rId14" Type="http://schemas.openxmlformats.org/officeDocument/2006/relationships/hyperlink" Target="https://portal.eias.ru/Portal/DownloadPage.aspx?type=12&amp;guid=fa815418-fcf1-4166-bcb4-ce940ebd3857" TargetMode="External"/><Relationship Id="rId15" Type="http://schemas.openxmlformats.org/officeDocument/2006/relationships/hyperlink" Target="https://portal.eias.ru/Portal/DownloadPage.aspx?type=12&amp;guid=fa815418-fcf1-4166-bcb4-ce940ebd3857" TargetMode="External"/><Relationship Id="rId16" Type="http://schemas.openxmlformats.org/officeDocument/2006/relationships/hyperlink" Target="https://portal.eias.ru/Portal/DownloadPage.aspx?type=12&amp;guid=fa815418-fcf1-4166-bcb4-ce940ebd3857" TargetMode="External"/><Relationship Id="rId17" Type="http://schemas.openxmlformats.org/officeDocument/2006/relationships/hyperlink" Target="https://portal.eias.ru/Portal/DownloadPage.aspx?type=12&amp;guid=fa815418-fcf1-4166-bcb4-ce940ebd3857" TargetMode="External"/><Relationship Id="rId18" Type="http://schemas.openxmlformats.org/officeDocument/2006/relationships/hyperlink" Target="https://portal.eias.ru/Portal/DownloadPage.aspx?type=12&amp;guid=fa815418-fcf1-4166-bcb4-ce940ebd3857" TargetMode="External"/><Relationship Id="rId19" Type="http://schemas.openxmlformats.org/officeDocument/2006/relationships/hyperlink" Target="https://portal.eias.ru/Portal/DownloadPage.aspx?type=12&amp;guid=fa815418-fcf1-4166-bcb4-ce940ebd3857" TargetMode="External"/><Relationship Id="rId20" Type="http://schemas.openxmlformats.org/officeDocument/2006/relationships/hyperlink" Target="https://portal.eias.ru/Portal/DownloadPage.aspx?type=12&amp;guid=fa815418-fcf1-4166-bcb4-ce940ebd3857" TargetMode="External"/><Relationship Id="rId21" Type="http://schemas.openxmlformats.org/officeDocument/2006/relationships/hyperlink" Target="https://portal.eias.ru/Portal/DownloadPage.aspx?type=12&amp;guid=fa815418-fcf1-4166-bcb4-ce940ebd3857" TargetMode="External"/><Relationship Id="rId22" Type="http://schemas.openxmlformats.org/officeDocument/2006/relationships/hyperlink" Target="https://portal.eias.ru/Portal/DownloadPage.aspx?type=12&amp;guid=fa815418-fcf1-4166-bcb4-ce940ebd3857" TargetMode="External"/><Relationship Id="rId23" Type="http://schemas.openxmlformats.org/officeDocument/2006/relationships/hyperlink" Target="https://portal.eias.ru/Portal/DownloadPage.aspx?type=12&amp;guid=fa815418-fcf1-4166-bcb4-ce940ebd3857" TargetMode="External"/><Relationship Id="rId24" Type="http://schemas.openxmlformats.org/officeDocument/2006/relationships/hyperlink" Target="https://portal.eias.ru/Portal/DownloadPage.aspx?type=12&amp;guid=fa815418-fcf1-4166-bcb4-ce940ebd3857" TargetMode="External"/><Relationship Id="rId25" Type="http://schemas.openxmlformats.org/officeDocument/2006/relationships/hyperlink" Target="https://portal.eias.ru/Portal/DownloadPage.aspx?type=12&amp;guid=fa815418-fcf1-4166-bcb4-ce940ebd3857" TargetMode="External"/><Relationship Id="rId26" Type="http://schemas.openxmlformats.org/officeDocument/2006/relationships/hyperlink" Target="https://portal.eias.ru/Portal/DownloadPage.aspx?type=12&amp;guid=fa815418-fcf1-4166-bcb4-ce940ebd3857" TargetMode="External"/><Relationship Id="rId27" Type="http://schemas.openxmlformats.org/officeDocument/2006/relationships/hyperlink" Target="https://portal.eias.ru/Portal/DownloadPage.aspx?type=12&amp;guid=fa815418-fcf1-4166-bcb4-ce940ebd3857" TargetMode="External"/><Relationship Id="rId28" Type="http://schemas.openxmlformats.org/officeDocument/2006/relationships/hyperlink" Target="https://portal.eias.ru/Portal/DownloadPage.aspx?type=12&amp;guid=fa815418-fcf1-4166-bcb4-ce940ebd3857" TargetMode="External"/><Relationship Id="rId29" Type="http://schemas.openxmlformats.org/officeDocument/2006/relationships/hyperlink" Target="https://portal.eias.ru/Portal/DownloadPage.aspx?type=12&amp;guid=fa815418-fcf1-4166-bcb4-ce940ebd3857" TargetMode="External"/><Relationship Id="rId30" Type="http://schemas.openxmlformats.org/officeDocument/2006/relationships/hyperlink" Target="https://portal.eias.ru/Portal/DownloadPage.aspx?type=12&amp;guid=fa815418-fcf1-4166-bcb4-ce940ebd3857" TargetMode="External"/><Relationship Id="rId31" Type="http://schemas.openxmlformats.org/officeDocument/2006/relationships/hyperlink" Target="https://portal.eias.ru/Portal/DownloadPage.aspx?type=12&amp;guid=fa815418-fcf1-4166-bcb4-ce940ebd3857" TargetMode="External"/><Relationship Id="rId32" Type="http://schemas.openxmlformats.org/officeDocument/2006/relationships/hyperlink" Target="https://portal.eias.ru/Portal/DownloadPage.aspx?type=12&amp;guid=fa815418-fcf1-4166-bcb4-ce940ebd3857" TargetMode="External"/><Relationship Id="rId33" Type="http://schemas.openxmlformats.org/officeDocument/2006/relationships/hyperlink" Target="https://portal.eias.ru/Portal/DownloadPage.aspx?type=12&amp;guid=fa815418-fcf1-4166-bcb4-ce940ebd3857" TargetMode="External"/><Relationship Id="rId34" Type="http://schemas.openxmlformats.org/officeDocument/2006/relationships/hyperlink" Target="https://portal.eias.ru/Portal/DownloadPage.aspx?type=12&amp;guid=fa815418-fcf1-4166-bcb4-ce940ebd3857" TargetMode="External"/><Relationship Id="rId35" Type="http://schemas.openxmlformats.org/officeDocument/2006/relationships/hyperlink" Target="https://portal.eias.ru/Portal/DownloadPage.aspx?type=12&amp;guid=fa815418-fcf1-4166-bcb4-ce940ebd3857" TargetMode="External"/><Relationship Id="rId36" Type="http://schemas.openxmlformats.org/officeDocument/2006/relationships/hyperlink" Target="https://portal.eias.ru/Portal/DownloadPage.aspx?type=12&amp;guid=fa815418-fcf1-4166-bcb4-ce940ebd3857" TargetMode="External"/><Relationship Id="rId37" Type="http://schemas.openxmlformats.org/officeDocument/2006/relationships/hyperlink" Target="https://portal.eias.ru/Portal/DownloadPage.aspx?type=12&amp;guid=fa815418-fcf1-4166-bcb4-ce940ebd3857" TargetMode="External"/><Relationship Id="rId38" Type="http://schemas.openxmlformats.org/officeDocument/2006/relationships/hyperlink" Target="https://portal.eias.ru/Portal/DownloadPage.aspx?type=12&amp;guid=fa815418-fcf1-4166-bcb4-ce940ebd3857" TargetMode="External"/><Relationship Id="rId39" Type="http://schemas.openxmlformats.org/officeDocument/2006/relationships/hyperlink" Target="https://portal.eias.ru/Portal/DownloadPage.aspx?type=12&amp;guid=fa815418-fcf1-4166-bcb4-ce940ebd385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Q$62" TargetMode="External"/><Relationship Id="rId6" Type="http://schemas.openxmlformats.org/officeDocument/2006/relationships/hyperlink" Target="&apos;&#1055;&#1086;&#1082;&#1072;&#1079;&#1072;&#1090;&#1077;&#1083;&#1080; &#1050;&#1053;&#1069;&apos;!$S$62" TargetMode="External"/><Relationship Id="rId7" Type="http://schemas.openxmlformats.org/officeDocument/2006/relationships/hyperlink" Target="&apos;&#1055;&#1086;&#1082;&#1072;&#1079;&#1072;&#1090;&#1077;&#1083;&#1080; &#1050;&#1053;&#1069;&apos;!$U$62" TargetMode="External"/><Relationship Id="rId8" Type="http://schemas.openxmlformats.org/officeDocument/2006/relationships/hyperlink" Target="&apos;&#1055;&#1086;&#1082;&#1072;&#1079;&#1072;&#1090;&#1077;&#1083;&#1080; &#1050;&#1053;&#1069;&apos;!$W$62" TargetMode="External"/><Relationship Id="rId9" Type="http://schemas.openxmlformats.org/officeDocument/2006/relationships/hyperlink" Target="&apos;&#1055;&#1086;&#1082;&#1072;&#1079;&#1072;&#1090;&#1077;&#1083;&#1080; &#1050;&#1053;&#1069;&apos;!$Y$62" TargetMode="External"/><Relationship Id="rId10" Type="http://schemas.openxmlformats.org/officeDocument/2006/relationships/hyperlink" Target="&apos;&#1055;&#1086;&#1082;&#1072;&#1079;&#1072;&#1090;&#1077;&#1083;&#1080; &#1050;&#1053;&#1069;&apos;!$AA$62" TargetMode="External"/><Relationship Id="rId11" Type="http://schemas.openxmlformats.org/officeDocument/2006/relationships/hyperlink" Target="&apos;&#1055;&#1086;&#1082;&#1072;&#1079;&#1072;&#1090;&#1077;&#1083;&#1080; &#1050;&#1053;&#1069;&apos;!$AC$62" TargetMode="External"/><Relationship Id="rId12" Type="http://schemas.openxmlformats.org/officeDocument/2006/relationships/hyperlink" Target="&apos;&#1055;&#1086;&#1082;&#1072;&#1079;&#1072;&#1090;&#1077;&#1083;&#1080; &#1050;&#1053;&#1069;&apos;!$AE$62" TargetMode="External"/><Relationship Id="rId13" Type="http://schemas.openxmlformats.org/officeDocument/2006/relationships/hyperlink" Target="&apos;&#1055;&#1086;&#1082;&#1072;&#1079;&#1072;&#1090;&#1077;&#1083;&#1080; &#1050;&#1053;&#1069;&apos;!$AG$62" TargetMode="External"/><Relationship Id="rId14" Type="http://schemas.openxmlformats.org/officeDocument/2006/relationships/hyperlink" Target="&apos;&#1055;&#1086;&#1082;&#1072;&#1079;&#1072;&#1090;&#1077;&#1083;&#1080; &#1050;&#1053;&#1069;&apos;!$AI$62" TargetMode="External"/><Relationship Id="rId15" Type="http://schemas.openxmlformats.org/officeDocument/2006/relationships/hyperlink" Target="&apos;&#1055;&#1086;&#1082;&#1072;&#1079;&#1072;&#1090;&#1077;&#1083;&#1080; &#1050;&#1053;&#1069;&apos;!$AK$62" TargetMode="External"/><Relationship Id="rId16" Type="http://schemas.openxmlformats.org/officeDocument/2006/relationships/hyperlink" Target="&apos;&#1055;&#1086;&#1082;&#1072;&#1079;&#1072;&#1090;&#1077;&#1083;&#1080; &#1050;&#1053;&#1069;&apos;!$AM$62" TargetMode="External"/><Relationship Id="rId17" Type="http://schemas.openxmlformats.org/officeDocument/2006/relationships/hyperlink" Target="&apos;&#1055;&#1086;&#1082;&#1072;&#1079;&#1072;&#1090;&#1077;&#1083;&#1080; &#1050;&#1053;&#1069;&apos;!$AO$62" TargetMode="External"/><Relationship Id="rId18" Type="http://schemas.openxmlformats.org/officeDocument/2006/relationships/hyperlink" Target="&apos;&#1055;&#1086;&#1082;&#1072;&#1079;&#1072;&#1090;&#1077;&#1083;&#1080; &#1050;&#1053;&#1069;&apos;!$AQ$62" TargetMode="External"/><Relationship Id="rId19" Type="http://schemas.openxmlformats.org/officeDocument/2006/relationships/hyperlink" Target="&apos;&#1055;&#1086;&#1082;&#1072;&#1079;&#1072;&#1090;&#1077;&#1083;&#1080; &#1050;&#1053;&#1069;&apos;!$AS$62" TargetMode="External"/><Relationship Id="rId20" Type="http://schemas.openxmlformats.org/officeDocument/2006/relationships/hyperlink" Target="&apos;&#1055;&#1086;&#1082;&#1072;&#1079;&#1072;&#1090;&#1077;&#1083;&#1080; &#1050;&#1053;&#1069;&apos;!$AU$62" TargetMode="External"/><Relationship Id="rId21" Type="http://schemas.openxmlformats.org/officeDocument/2006/relationships/hyperlink" Target="&apos;&#1055;&#1086;&#1082;&#1072;&#1079;&#1072;&#1090;&#1077;&#1083;&#1080; &#1050;&#1053;&#1069;&apos;!$AW$62" TargetMode="External"/><Relationship Id="rId22" Type="http://schemas.openxmlformats.org/officeDocument/2006/relationships/hyperlink" Target="&apos;&#1055;&#1086;&#1082;&#1072;&#1079;&#1072;&#1090;&#1077;&#1083;&#1080; &#1050;&#1053;&#1069;&apos;!$AY$62" TargetMode="External"/><Relationship Id="rId23" Type="http://schemas.openxmlformats.org/officeDocument/2006/relationships/hyperlink" Target="&apos;&#1055;&#1086;&#1082;&#1072;&#1079;&#1072;&#1090;&#1077;&#1083;&#1080; &#1050;&#1053;&#1069;&apos;!$BA$62" TargetMode="External"/><Relationship Id="rId24" Type="http://schemas.openxmlformats.org/officeDocument/2006/relationships/hyperlink" Target="&apos;&#1055;&#1086;&#1082;&#1072;&#1079;&#1072;&#1090;&#1077;&#1083;&#1080; &#1050;&#1053;&#1069;&apos;!$BC$62" TargetMode="External"/><Relationship Id="rId25" Type="http://schemas.openxmlformats.org/officeDocument/2006/relationships/hyperlink" Target="&apos;&#1055;&#1086;&#1082;&#1072;&#1079;&#1072;&#1090;&#1077;&#1083;&#1080; &#1050;&#1053;&#1069;&apos;!$BE$62" TargetMode="External"/><Relationship Id="rId26" Type="http://schemas.openxmlformats.org/officeDocument/2006/relationships/hyperlink" Target="&apos;&#1055;&#1086;&#1082;&#1072;&#1079;&#1072;&#1090;&#1077;&#1083;&#1080; &#1050;&#1053;&#1069;&apos;!$BG$62" TargetMode="External"/><Relationship Id="rId27" Type="http://schemas.openxmlformats.org/officeDocument/2006/relationships/hyperlink" Target="&apos;&#1055;&#1086;&#1082;&#1072;&#1079;&#1072;&#1090;&#1077;&#1083;&#1080; &#1050;&#1053;&#1069;&apos;!$BI$62" TargetMode="External"/><Relationship Id="rId28" Type="http://schemas.openxmlformats.org/officeDocument/2006/relationships/hyperlink" Target="&apos;&#1055;&#1086;&#1082;&#1072;&#1079;&#1072;&#1090;&#1077;&#1083;&#1080; &#1050;&#1053;&#1069;&apos;!$BK$62" TargetMode="External"/><Relationship Id="rId29" Type="http://schemas.openxmlformats.org/officeDocument/2006/relationships/hyperlink" Target="&apos;&#1055;&#1086;&#1082;&#1072;&#1079;&#1072;&#1090;&#1077;&#1083;&#1080; &#1050;&#1053;&#1069;&apos;!$BM$62" TargetMode="External"/><Relationship Id="rId30" Type="http://schemas.openxmlformats.org/officeDocument/2006/relationships/hyperlink" Target="&apos;&#1055;&#1086;&#1082;&#1072;&#1079;&#1072;&#1090;&#1077;&#1083;&#1080; &#1050;&#1053;&#1069;&apos;!$BO$62" TargetMode="External"/><Relationship Id="rId31" Type="http://schemas.openxmlformats.org/officeDocument/2006/relationships/hyperlink" Target="&apos;&#1055;&#1086;&#1082;&#1072;&#1079;&#1072;&#1090;&#1077;&#1083;&#1080; &#1050;&#1053;&#1069;&apos;!$BQ$62" TargetMode="External"/><Relationship Id="rId32" Type="http://schemas.openxmlformats.org/officeDocument/2006/relationships/hyperlink" Target="&apos;&#1055;&#1086;&#1082;&#1072;&#1079;&#1072;&#1090;&#1077;&#1083;&#1080; &#1050;&#1053;&#1069;&apos;!$BS$62" TargetMode="External"/><Relationship Id="rId33" Type="http://schemas.openxmlformats.org/officeDocument/2006/relationships/hyperlink" Target="&apos;&#1055;&#1086;&#1082;&#1072;&#1079;&#1072;&#1090;&#1077;&#1083;&#1080; &#1050;&#1053;&#1069;&apos;!$BU$62" TargetMode="External"/><Relationship Id="rId34" Type="http://schemas.openxmlformats.org/officeDocument/2006/relationships/hyperlink" Target="&apos;&#1055;&#1086;&#1082;&#1072;&#1079;&#1072;&#1090;&#1077;&#1083;&#1080; &#1050;&#1053;&#1069;&apos;!$BW$62" TargetMode="External"/><Relationship Id="rId35" Type="http://schemas.openxmlformats.org/officeDocument/2006/relationships/hyperlink" Target="&apos;&#1055;&#1086;&#1082;&#1072;&#1079;&#1072;&#1090;&#1077;&#1083;&#1080; &#1050;&#1053;&#1069;&apos;!$BY$62" TargetMode="External"/><Relationship Id="rId36" Type="http://schemas.openxmlformats.org/officeDocument/2006/relationships/hyperlink" Target="&apos;&#1055;&#1086;&#1082;&#1072;&#1079;&#1072;&#1090;&#1077;&#1083;&#1080; &#1050;&#1053;&#1069;&apos;!$CA$62" TargetMode="External"/><Relationship Id="rId37" Type="http://schemas.openxmlformats.org/officeDocument/2006/relationships/hyperlink" Target="&apos;&#1055;&#1086;&#1082;&#1072;&#1079;&#1072;&#1090;&#1077;&#1083;&#1080; &#1050;&#1053;&#1069;&apos;!$CC$62" TargetMode="External"/><Relationship Id="rId38" Type="http://schemas.openxmlformats.org/officeDocument/2006/relationships/hyperlink" Target="&apos;&#1055;&#1086;&#1082;&#1072;&#1079;&#1072;&#1090;&#1077;&#1083;&#1080; &#1050;&#1053;&#1069;&apos;!$CE$62" TargetMode="External"/><Relationship Id="rId39" Type="http://schemas.openxmlformats.org/officeDocument/2006/relationships/hyperlink" Target="&apos;&#1055;&#1086;&#1082;&#1072;&#1079;&#1072;&#1090;&#1077;&#1083;&#1080; &#1050;&#1053;&#1069;&apos;!$CG$62" TargetMode="External"/><Relationship Id="rId40" Type="http://schemas.openxmlformats.org/officeDocument/2006/relationships/hyperlink" Target="&apos;&#1055;&#1086;&#1082;&#1072;&#1079;&#1072;&#1090;&#1077;&#1083;&#1080; &#1050;&#1053;&#1069;&apos;!$I$63" TargetMode="External"/><Relationship Id="rId41" Type="http://schemas.openxmlformats.org/officeDocument/2006/relationships/hyperlink" Target="&apos;&#1055;&#1086;&#1082;&#1072;&#1079;&#1072;&#1090;&#1077;&#1083;&#1080; &#1050;&#1053;&#1069;&apos;!$K$63" TargetMode="External"/><Relationship Id="rId42" Type="http://schemas.openxmlformats.org/officeDocument/2006/relationships/hyperlink" Target="&apos;&#1055;&#1086;&#1082;&#1072;&#1079;&#1072;&#1090;&#1077;&#1083;&#1080; &#1050;&#1053;&#1069;&apos;!$M$63" TargetMode="External"/><Relationship Id="rId43" Type="http://schemas.openxmlformats.org/officeDocument/2006/relationships/hyperlink" Target="&apos;&#1055;&#1086;&#1082;&#1072;&#1079;&#1072;&#1090;&#1077;&#1083;&#1080; &#1050;&#1053;&#1069;&apos;!$O$63" TargetMode="External"/><Relationship Id="rId44" Type="http://schemas.openxmlformats.org/officeDocument/2006/relationships/hyperlink" Target="&apos;&#1055;&#1086;&#1082;&#1072;&#1079;&#1072;&#1090;&#1077;&#1083;&#1080; &#1050;&#1053;&#1069;&apos;!$Q$63" TargetMode="External"/><Relationship Id="rId45" Type="http://schemas.openxmlformats.org/officeDocument/2006/relationships/hyperlink" Target="&apos;&#1055;&#1086;&#1082;&#1072;&#1079;&#1072;&#1090;&#1077;&#1083;&#1080; &#1050;&#1053;&#1069;&apos;!$S$63" TargetMode="External"/><Relationship Id="rId46" Type="http://schemas.openxmlformats.org/officeDocument/2006/relationships/hyperlink" Target="&apos;&#1055;&#1086;&#1082;&#1072;&#1079;&#1072;&#1090;&#1077;&#1083;&#1080; &#1050;&#1053;&#1069;&apos;!$U$63" TargetMode="External"/><Relationship Id="rId47" Type="http://schemas.openxmlformats.org/officeDocument/2006/relationships/hyperlink" Target="&apos;&#1055;&#1086;&#1082;&#1072;&#1079;&#1072;&#1090;&#1077;&#1083;&#1080; &#1050;&#1053;&#1069;&apos;!$W$63" TargetMode="External"/><Relationship Id="rId48" Type="http://schemas.openxmlformats.org/officeDocument/2006/relationships/hyperlink" Target="&apos;&#1055;&#1086;&#1082;&#1072;&#1079;&#1072;&#1090;&#1077;&#1083;&#1080; &#1050;&#1053;&#1069;&apos;!$Y$63" TargetMode="External"/><Relationship Id="rId49" Type="http://schemas.openxmlformats.org/officeDocument/2006/relationships/hyperlink" Target="&apos;&#1055;&#1086;&#1082;&#1072;&#1079;&#1072;&#1090;&#1077;&#1083;&#1080; &#1050;&#1053;&#1069;&apos;!$AA$63" TargetMode="External"/><Relationship Id="rId50" Type="http://schemas.openxmlformats.org/officeDocument/2006/relationships/hyperlink" Target="&apos;&#1055;&#1086;&#1082;&#1072;&#1079;&#1072;&#1090;&#1077;&#1083;&#1080; &#1050;&#1053;&#1069;&apos;!$AC$63" TargetMode="External"/><Relationship Id="rId51" Type="http://schemas.openxmlformats.org/officeDocument/2006/relationships/hyperlink" Target="&apos;&#1055;&#1086;&#1082;&#1072;&#1079;&#1072;&#1090;&#1077;&#1083;&#1080; &#1050;&#1053;&#1069;&apos;!$AE$63" TargetMode="External"/><Relationship Id="rId52" Type="http://schemas.openxmlformats.org/officeDocument/2006/relationships/hyperlink" Target="&apos;&#1055;&#1086;&#1082;&#1072;&#1079;&#1072;&#1090;&#1077;&#1083;&#1080; &#1050;&#1053;&#1069;&apos;!$AG$63" TargetMode="External"/><Relationship Id="rId53" Type="http://schemas.openxmlformats.org/officeDocument/2006/relationships/hyperlink" Target="&apos;&#1055;&#1086;&#1082;&#1072;&#1079;&#1072;&#1090;&#1077;&#1083;&#1080; &#1050;&#1053;&#1069;&apos;!$AI$63" TargetMode="External"/><Relationship Id="rId54" Type="http://schemas.openxmlformats.org/officeDocument/2006/relationships/hyperlink" Target="&apos;&#1055;&#1086;&#1082;&#1072;&#1079;&#1072;&#1090;&#1077;&#1083;&#1080; &#1050;&#1053;&#1069;&apos;!$AK$63" TargetMode="External"/><Relationship Id="rId55" Type="http://schemas.openxmlformats.org/officeDocument/2006/relationships/hyperlink" Target="&apos;&#1055;&#1086;&#1082;&#1072;&#1079;&#1072;&#1090;&#1077;&#1083;&#1080; &#1050;&#1053;&#1069;&apos;!$AM$63" TargetMode="External"/><Relationship Id="rId56" Type="http://schemas.openxmlformats.org/officeDocument/2006/relationships/hyperlink" Target="&apos;&#1055;&#1086;&#1082;&#1072;&#1079;&#1072;&#1090;&#1077;&#1083;&#1080; &#1050;&#1053;&#1069;&apos;!$AO$63" TargetMode="External"/><Relationship Id="rId57" Type="http://schemas.openxmlformats.org/officeDocument/2006/relationships/hyperlink" Target="&apos;&#1055;&#1086;&#1082;&#1072;&#1079;&#1072;&#1090;&#1077;&#1083;&#1080; &#1050;&#1053;&#1069;&apos;!$AQ$63" TargetMode="External"/><Relationship Id="rId58" Type="http://schemas.openxmlformats.org/officeDocument/2006/relationships/hyperlink" Target="&apos;&#1055;&#1086;&#1082;&#1072;&#1079;&#1072;&#1090;&#1077;&#1083;&#1080; &#1050;&#1053;&#1069;&apos;!$AS$63" TargetMode="External"/><Relationship Id="rId59" Type="http://schemas.openxmlformats.org/officeDocument/2006/relationships/hyperlink" Target="&apos;&#1055;&#1086;&#1082;&#1072;&#1079;&#1072;&#1090;&#1077;&#1083;&#1080; &#1050;&#1053;&#1069;&apos;!$AU$63" TargetMode="External"/><Relationship Id="rId60" Type="http://schemas.openxmlformats.org/officeDocument/2006/relationships/hyperlink" Target="&apos;&#1055;&#1086;&#1082;&#1072;&#1079;&#1072;&#1090;&#1077;&#1083;&#1080; &#1050;&#1053;&#1069;&apos;!$AW$63" TargetMode="External"/><Relationship Id="rId61" Type="http://schemas.openxmlformats.org/officeDocument/2006/relationships/hyperlink" Target="&apos;&#1055;&#1086;&#1082;&#1072;&#1079;&#1072;&#1090;&#1077;&#1083;&#1080; &#1050;&#1053;&#1069;&apos;!$AY$63" TargetMode="External"/><Relationship Id="rId62" Type="http://schemas.openxmlformats.org/officeDocument/2006/relationships/hyperlink" Target="&apos;&#1055;&#1086;&#1082;&#1072;&#1079;&#1072;&#1090;&#1077;&#1083;&#1080; &#1050;&#1053;&#1069;&apos;!$BA$63" TargetMode="External"/><Relationship Id="rId63" Type="http://schemas.openxmlformats.org/officeDocument/2006/relationships/hyperlink" Target="&apos;&#1055;&#1086;&#1082;&#1072;&#1079;&#1072;&#1090;&#1077;&#1083;&#1080; &#1050;&#1053;&#1069;&apos;!$BC$63" TargetMode="External"/><Relationship Id="rId64" Type="http://schemas.openxmlformats.org/officeDocument/2006/relationships/hyperlink" Target="&apos;&#1055;&#1086;&#1082;&#1072;&#1079;&#1072;&#1090;&#1077;&#1083;&#1080; &#1050;&#1053;&#1069;&apos;!$BE$63" TargetMode="External"/><Relationship Id="rId65" Type="http://schemas.openxmlformats.org/officeDocument/2006/relationships/hyperlink" Target="&apos;&#1055;&#1086;&#1082;&#1072;&#1079;&#1072;&#1090;&#1077;&#1083;&#1080; &#1050;&#1053;&#1069;&apos;!$BG$63" TargetMode="External"/><Relationship Id="rId66" Type="http://schemas.openxmlformats.org/officeDocument/2006/relationships/hyperlink" Target="&apos;&#1055;&#1086;&#1082;&#1072;&#1079;&#1072;&#1090;&#1077;&#1083;&#1080; &#1050;&#1053;&#1069;&apos;!$BI$63" TargetMode="External"/><Relationship Id="rId67" Type="http://schemas.openxmlformats.org/officeDocument/2006/relationships/hyperlink" Target="&apos;&#1055;&#1086;&#1082;&#1072;&#1079;&#1072;&#1090;&#1077;&#1083;&#1080; &#1050;&#1053;&#1069;&apos;!$BK$63" TargetMode="External"/><Relationship Id="rId68" Type="http://schemas.openxmlformats.org/officeDocument/2006/relationships/hyperlink" Target="&apos;&#1055;&#1086;&#1082;&#1072;&#1079;&#1072;&#1090;&#1077;&#1083;&#1080; &#1050;&#1053;&#1069;&apos;!$BM$63" TargetMode="External"/><Relationship Id="rId69" Type="http://schemas.openxmlformats.org/officeDocument/2006/relationships/hyperlink" Target="&apos;&#1055;&#1086;&#1082;&#1072;&#1079;&#1072;&#1090;&#1077;&#1083;&#1080; &#1050;&#1053;&#1069;&apos;!$BO$63" TargetMode="External"/><Relationship Id="rId70" Type="http://schemas.openxmlformats.org/officeDocument/2006/relationships/hyperlink" Target="&apos;&#1055;&#1086;&#1082;&#1072;&#1079;&#1072;&#1090;&#1077;&#1083;&#1080; &#1050;&#1053;&#1069;&apos;!$BQ$63" TargetMode="External"/><Relationship Id="rId71" Type="http://schemas.openxmlformats.org/officeDocument/2006/relationships/hyperlink" Target="&apos;&#1055;&#1086;&#1082;&#1072;&#1079;&#1072;&#1090;&#1077;&#1083;&#1080; &#1050;&#1053;&#1069;&apos;!$BS$63" TargetMode="External"/><Relationship Id="rId72" Type="http://schemas.openxmlformats.org/officeDocument/2006/relationships/hyperlink" Target="&apos;&#1055;&#1086;&#1082;&#1072;&#1079;&#1072;&#1090;&#1077;&#1083;&#1080; &#1050;&#1053;&#1069;&apos;!$BU$63" TargetMode="External"/><Relationship Id="rId73" Type="http://schemas.openxmlformats.org/officeDocument/2006/relationships/hyperlink" Target="&apos;&#1055;&#1086;&#1082;&#1072;&#1079;&#1072;&#1090;&#1077;&#1083;&#1080; &#1050;&#1053;&#1069;&apos;!$BW$63" TargetMode="External"/><Relationship Id="rId74" Type="http://schemas.openxmlformats.org/officeDocument/2006/relationships/hyperlink" Target="&apos;&#1055;&#1086;&#1082;&#1072;&#1079;&#1072;&#1090;&#1077;&#1083;&#1080; &#1050;&#1053;&#1069;&apos;!$BY$63" TargetMode="External"/><Relationship Id="rId75" Type="http://schemas.openxmlformats.org/officeDocument/2006/relationships/hyperlink" Target="&apos;&#1055;&#1086;&#1082;&#1072;&#1079;&#1072;&#1090;&#1077;&#1083;&#1080; &#1050;&#1053;&#1069;&apos;!$CA$63" TargetMode="External"/><Relationship Id="rId76" Type="http://schemas.openxmlformats.org/officeDocument/2006/relationships/hyperlink" Target="&apos;&#1055;&#1086;&#1082;&#1072;&#1079;&#1072;&#1090;&#1077;&#1083;&#1080; &#1050;&#1053;&#1069;&apos;!$CC$63" TargetMode="External"/><Relationship Id="rId77" Type="http://schemas.openxmlformats.org/officeDocument/2006/relationships/hyperlink" Target="&apos;&#1055;&#1086;&#1082;&#1072;&#1079;&#1072;&#1090;&#1077;&#1083;&#1080; &#1050;&#1053;&#1069;&apos;!$CE$63" TargetMode="External"/><Relationship Id="rId78" Type="http://schemas.openxmlformats.org/officeDocument/2006/relationships/hyperlink" Target="&apos;&#1055;&#1086;&#1082;&#1072;&#1079;&#1072;&#1090;&#1077;&#1083;&#1080; &#1050;&#1053;&#1069;&apos;!$CG$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5778-56EB-15A8-0D05-9D65CD373D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35" width="5.421875" customWidth="1"/>
    <col min="2" max="2" style="5135" width="9.140625" customWidth="1"/>
    <col min="3" max="3" style="5135" width="16.421875" customWidth="1"/>
    <col min="4" max="25" style="5135" width="6.28125" customWidth="1"/>
    <col min="26" max="28" style="513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077FA8-7116-5948-C7F4-22FA0B7615AE}" mc:Ignorable="x14ac xr xr2 xr3">
  <sheetPr>
    <tabColor rgb="FFCCCCFF"/>
  </sheetPr>
  <dimension ref="A1:Q79"/>
  <sheetViews>
    <sheetView topLeftCell="C33" showGridLines="0" zoomScale="90" workbookViewId="0">
      <selection activeCell="I66" sqref="I66"/>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PP108.OPEN.INFO.BALANCE.COLDVSNA.EIAS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19</v>
      </c>
      <c r="G53" s="536"/>
      <c r="I53" s="538"/>
      <c r="J53" s="882"/>
      <c r="P53" s="539"/>
      <c r="Q53" s="537">
        <v>0</v>
      </c>
    </row>
    <row s="1639" customFormat="1" customHeight="1" ht="27" hidden="1">
      <c r="A54" s="790"/>
      <c r="B54" s="417"/>
      <c r="C54" s="534"/>
      <c r="D54" s="535"/>
      <c r="E54" s="395" t="s">
        <v>61</v>
      </c>
      <c r="F54" s="1777"/>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62</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63</v>
      </c>
      <c r="F58" s="1052" t="s">
        <v>64</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t="s">
        <v>64</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B0BCE8-19EB-1DC8-CFE8-84502F873678}"/>
    <hyperlink ref="H17" location="Титульный!H9" display="Как заполнить?" tooltip="Помощь по работе с полями отчётной формы" xr:uid="{E3394D09-9AF8-87B3-3878-54C5632F6E58}"/>
    <hyperlink ref="H39" location="Титульный!H9" display="Как заполнить?" tooltip="Помощь по работе с полями отчётной формы" xr:uid="{6E1469E2-3A59-B5C8-57C8-4DBE2F27FEDA}"/>
    <hyperlink ref="H62" location="Титульный!H9" display="Как заполнить?" tooltip="Помощь по работе с полями отчётной формы" xr:uid="{7986F538-E0A3-D346-0EB1-2F90FA5E0F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D50D5-3E79-0A7A-E077-3D7F03D6384C}" mc:Ignorable="x14ac xr xr2 xr3">
  <sheetPr>
    <tabColor rgb="FFCCCCFF"/>
    <pageSetUpPr fitToPage="1"/>
  </sheetPr>
  <dimension ref="A1:AC67"/>
  <sheetViews>
    <sheetView showGridLines="0" zoomScale="90" workbookViewId="0">
      <pane xSplit="6" ySplit="11" topLeftCell="G12" activePane="bottomRight" state="frozen"/>
      <selection pane="bottomLeft" activeCell="A12" sqref="A12"/>
      <selection pane="topRight" activeCell="G1" sqref="G1"/>
      <selection pane="bottomRight" activeCell="AB30" sqref="AB30"/>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Хасанский муниципальный округ(05548000)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34" t="s">
        <v>102</v>
      </c>
      <c r="B15" s="1164"/>
      <c r="C15" s="805" t="s">
        <v>103</v>
      </c>
      <c r="D15" s="1821"/>
      <c r="E15" s="1808" t="str">
        <f>A15</f>
        <v>2</v>
      </c>
      <c r="F15" s="808" t="s">
        <v>104</v>
      </c>
      <c r="G15" s="544" t="str">
        <f>"Территория "&amp;E15</f>
        <v>Территория 2</v>
      </c>
      <c r="H15" s="796"/>
      <c r="I15" s="796"/>
      <c r="J15" s="793"/>
      <c r="K15" s="1628"/>
      <c r="L15" s="1628"/>
      <c r="M15" s="1628"/>
      <c r="N15" s="230"/>
      <c r="O15" s="1628"/>
      <c r="P15" s="229"/>
      <c r="Q15" s="229"/>
      <c r="R15" s="229"/>
      <c r="S15" s="229"/>
      <c r="T15" s="1822"/>
      <c r="U15" s="1822"/>
      <c r="V15" s="1822"/>
      <c r="W15" s="1822"/>
      <c r="X15" s="1822"/>
      <c r="Y15" s="1822"/>
      <c r="Z15" s="1822"/>
      <c r="AA15" s="1822"/>
      <c r="AB15" s="1822"/>
      <c r="AC15" s="1822"/>
    </row>
    <row customHeight="1" ht="15">
      <c r="A16" s="2234"/>
      <c r="B16" s="1164">
        <v>1</v>
      </c>
      <c r="C16" s="1164"/>
      <c r="D16" s="804"/>
      <c r="E16" s="1816" t="str">
        <f>A15&amp;"."&amp;B16</f>
        <v>2.1</v>
      </c>
      <c r="F16" s="807" t="s">
        <v>105</v>
      </c>
      <c r="G16" s="797" t="s">
        <v>106</v>
      </c>
      <c r="H16" s="797" t="s">
        <v>106</v>
      </c>
      <c r="I16" s="795" t="s">
        <v>107</v>
      </c>
      <c r="J16" s="1628"/>
      <c r="K16" s="1640"/>
      <c r="L16" s="1640"/>
      <c r="M16" s="1628" t="str">
        <f t="array" ref="M16:M16">IF(ISERROR(MATCH(MID(N16,1,250),MID(note_ter,1,250),0)),"n","y")</f>
        <v>n</v>
      </c>
      <c r="N16" s="1640"/>
      <c r="O16" s="1628" t="str">
        <f>H16&amp;"("&amp;I16&amp;")"</f>
        <v>Анучинский муниципальный округ(05502000)</v>
      </c>
      <c r="P16" s="1164"/>
      <c r="Q16" s="1164"/>
      <c r="R16" s="424"/>
      <c r="S16" s="1164"/>
      <c r="T16" s="1164"/>
      <c r="U16" s="1164"/>
      <c r="V16" s="426"/>
      <c r="W16" s="426"/>
      <c r="X16" s="423"/>
      <c r="Y16" s="423"/>
      <c r="Z16" s="423"/>
      <c r="AA16" s="423"/>
      <c r="AB16" s="423"/>
      <c r="AC16" s="423"/>
    </row>
    <row customHeight="1" ht="15">
      <c r="A17" s="2234"/>
      <c r="B17" s="1164"/>
      <c r="C17" s="416"/>
      <c r="D17" s="805"/>
      <c r="E17" s="425"/>
      <c r="F17" s="181"/>
      <c r="G17" s="419" t="s">
        <v>101</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34" t="s">
        <v>89</v>
      </c>
      <c r="B18" s="1164"/>
      <c r="C18" s="805" t="s">
        <v>103</v>
      </c>
      <c r="D18" s="1821"/>
      <c r="E18" s="1808" t="str">
        <f>A18</f>
        <v>3</v>
      </c>
      <c r="F18" s="808" t="s">
        <v>108</v>
      </c>
      <c r="G18" s="544" t="str">
        <f>"Территория "&amp;E18</f>
        <v>Территория 3</v>
      </c>
      <c r="H18" s="796"/>
      <c r="I18" s="796"/>
      <c r="J18" s="793"/>
      <c r="K18" s="1628"/>
      <c r="L18" s="1628"/>
      <c r="M18" s="1628"/>
      <c r="N18" s="230"/>
      <c r="O18" s="1628"/>
      <c r="P18" s="229"/>
      <c r="Q18" s="229"/>
      <c r="R18" s="229"/>
      <c r="S18" s="229"/>
      <c r="T18" s="1822"/>
      <c r="U18" s="1822"/>
      <c r="V18" s="1822"/>
      <c r="W18" s="1822"/>
      <c r="X18" s="1822"/>
      <c r="Y18" s="1822"/>
      <c r="Z18" s="1822"/>
      <c r="AA18" s="1822"/>
      <c r="AB18" s="1822"/>
      <c r="AC18" s="1822"/>
    </row>
    <row customHeight="1" ht="15">
      <c r="A19" s="2234"/>
      <c r="B19" s="1164">
        <v>1</v>
      </c>
      <c r="C19" s="1164"/>
      <c r="D19" s="804"/>
      <c r="E19" s="1816" t="str">
        <f>A18&amp;"."&amp;B19</f>
        <v>3.1</v>
      </c>
      <c r="F19" s="807" t="s">
        <v>109</v>
      </c>
      <c r="G19" s="797" t="s">
        <v>110</v>
      </c>
      <c r="H19" s="797" t="s">
        <v>111</v>
      </c>
      <c r="I19" s="795" t="s">
        <v>112</v>
      </c>
      <c r="J19" s="1628"/>
      <c r="K19" s="1640"/>
      <c r="L19" s="1640"/>
      <c r="M19" s="1628" t="str">
        <f t="array" ref="M19:M19">IF(ISERROR(MATCH(MID(N19,1,250),MID(note_ter,1,250),0)),"n","y")</f>
        <v>n</v>
      </c>
      <c r="N19" s="1640"/>
      <c r="O19" s="1628" t="str">
        <f>H19&amp;"("&amp;I19&amp;")"</f>
        <v>Романовское сельское поселение(05657425)</v>
      </c>
      <c r="P19" s="1164"/>
      <c r="Q19" s="1164"/>
      <c r="R19" s="424"/>
      <c r="S19" s="1164"/>
      <c r="T19" s="1164"/>
      <c r="U19" s="1164"/>
      <c r="V19" s="426"/>
      <c r="W19" s="426"/>
      <c r="X19" s="423"/>
      <c r="Y19" s="423"/>
      <c r="Z19" s="423"/>
      <c r="AA19" s="423"/>
      <c r="AB19" s="423"/>
      <c r="AC19" s="423"/>
    </row>
    <row customHeight="1" ht="15">
      <c r="A20" s="1883"/>
      <c r="B20" s="1370" t="s">
        <v>102</v>
      </c>
      <c r="C20" s="1370"/>
      <c r="D20" s="804" t="s">
        <v>103</v>
      </c>
      <c r="E20" s="1879" t="str">
        <f>A18&amp;"."&amp;B20</f>
        <v>3.2</v>
      </c>
      <c r="F20" s="1884" t="s">
        <v>113</v>
      </c>
      <c r="G20" s="1888" t="s">
        <v>110</v>
      </c>
      <c r="H20" s="1888" t="s">
        <v>114</v>
      </c>
      <c r="I20" s="1886" t="s">
        <v>115</v>
      </c>
      <c r="J20" s="1628"/>
      <c r="K20" s="1640"/>
      <c r="L20" s="1640"/>
      <c r="M20" s="1628" t="str">
        <f t="array" ref="M20:M20">IF(ISERROR(MATCH(MID(N20,1,250),MID(note_ter,1,250),0)),"n","y")</f>
        <v>n</v>
      </c>
      <c r="N20" s="1640"/>
      <c r="O20" s="1628" t="str">
        <f>H20&amp;"("&amp;I20&amp;")"</f>
        <v>Штыковское сельское поселение(05657432)</v>
      </c>
      <c r="P20" s="1370"/>
      <c r="Q20" s="1370"/>
      <c r="R20" s="424"/>
      <c r="S20" s="1370"/>
      <c r="T20" s="1370"/>
      <c r="U20" s="1370"/>
      <c r="V20" s="837"/>
      <c r="W20" s="837"/>
      <c r="X20" s="631"/>
      <c r="Y20" s="631"/>
      <c r="Z20" s="631"/>
      <c r="AA20" s="631"/>
      <c r="AB20" s="631"/>
      <c r="AC20" s="631"/>
    </row>
    <row customHeight="1" ht="15">
      <c r="A21" s="2234"/>
      <c r="B21" s="1164"/>
      <c r="C21" s="416"/>
      <c r="D21" s="805"/>
      <c r="E21" s="425"/>
      <c r="F21" s="181"/>
      <c r="G21" s="419" t="s">
        <v>101</v>
      </c>
      <c r="H21" s="191"/>
      <c r="I21" s="428"/>
      <c r="J21" s="1640"/>
      <c r="K21" s="1640"/>
      <c r="L21" s="1640"/>
      <c r="M21" s="1640"/>
      <c r="N21" s="1628"/>
      <c r="O21" s="1640"/>
      <c r="P21" s="1164"/>
      <c r="Q21" s="1164"/>
      <c r="R21" s="424"/>
      <c r="S21" s="1164"/>
      <c r="T21" s="1164"/>
      <c r="U21" s="1164"/>
      <c r="V21" s="426"/>
      <c r="W21" s="426"/>
      <c r="X21" s="423"/>
      <c r="Y21" s="423"/>
      <c r="Z21" s="423"/>
      <c r="AA21" s="423"/>
      <c r="AB21" s="423"/>
      <c r="AC21" s="423"/>
    </row>
    <row customHeight="1" ht="15">
      <c r="A22" s="2234" t="s">
        <v>90</v>
      </c>
      <c r="B22" s="1164"/>
      <c r="C22" s="805" t="s">
        <v>103</v>
      </c>
      <c r="D22" s="1821"/>
      <c r="E22" s="1808" t="str">
        <f>A22</f>
        <v>4</v>
      </c>
      <c r="F22" s="808" t="s">
        <v>116</v>
      </c>
      <c r="G22" s="544" t="str">
        <f>"Территория "&amp;E22</f>
        <v>Территория 4</v>
      </c>
      <c r="H22" s="796"/>
      <c r="I22" s="796"/>
      <c r="J22" s="793"/>
      <c r="K22" s="1628"/>
      <c r="L22" s="1628"/>
      <c r="M22" s="1628"/>
      <c r="N22" s="230"/>
      <c r="O22" s="1628"/>
      <c r="P22" s="229"/>
      <c r="Q22" s="229"/>
      <c r="R22" s="229"/>
      <c r="S22" s="229"/>
      <c r="T22" s="1822"/>
      <c r="U22" s="1822"/>
      <c r="V22" s="1822"/>
      <c r="W22" s="1822"/>
      <c r="X22" s="1822"/>
      <c r="Y22" s="1822"/>
      <c r="Z22" s="1822"/>
      <c r="AA22" s="1822"/>
      <c r="AB22" s="1822"/>
      <c r="AC22" s="1822"/>
    </row>
    <row customHeight="1" ht="15">
      <c r="A23" s="2234"/>
      <c r="B23" s="1164">
        <v>1</v>
      </c>
      <c r="C23" s="1164"/>
      <c r="D23" s="804"/>
      <c r="E23" s="1816" t="str">
        <f>A22&amp;"."&amp;B23</f>
        <v>4.1</v>
      </c>
      <c r="F23" s="807" t="s">
        <v>117</v>
      </c>
      <c r="G23" s="797" t="s">
        <v>118</v>
      </c>
      <c r="H23" s="797" t="s">
        <v>118</v>
      </c>
      <c r="I23" s="795" t="s">
        <v>119</v>
      </c>
      <c r="J23" s="1628"/>
      <c r="K23" s="1640"/>
      <c r="L23" s="1640"/>
      <c r="M23" s="1628" t="str">
        <f t="array" ref="M23:M23">IF(ISERROR(MATCH(MID(N23,1,250),MID(note_ter,1,250),0)),"n","y")</f>
        <v>n</v>
      </c>
      <c r="N23" s="1640"/>
      <c r="O23" s="1628" t="str">
        <f>H23&amp;"("&amp;I23&amp;")"</f>
        <v>городской округ ЗАТО Фокино(05747000)</v>
      </c>
      <c r="P23" s="1164"/>
      <c r="Q23" s="1164"/>
      <c r="R23" s="424"/>
      <c r="S23" s="1164"/>
      <c r="T23" s="1164"/>
      <c r="U23" s="1164"/>
      <c r="V23" s="426"/>
      <c r="W23" s="426"/>
      <c r="X23" s="423"/>
      <c r="Y23" s="423"/>
      <c r="Z23" s="423"/>
      <c r="AA23" s="423"/>
      <c r="AB23" s="423"/>
      <c r="AC23" s="423"/>
    </row>
    <row customHeight="1" ht="15">
      <c r="A24" s="2234"/>
      <c r="B24" s="1164"/>
      <c r="C24" s="416"/>
      <c r="D24" s="805"/>
      <c r="E24" s="425"/>
      <c r="F24" s="181"/>
      <c r="G24" s="419" t="s">
        <v>101</v>
      </c>
      <c r="H24" s="191"/>
      <c r="I24" s="428"/>
      <c r="J24" s="1640"/>
      <c r="K24" s="1640"/>
      <c r="L24" s="1640"/>
      <c r="M24" s="1640"/>
      <c r="N24" s="1628"/>
      <c r="O24" s="1640"/>
      <c r="P24" s="1164"/>
      <c r="Q24" s="1164"/>
      <c r="R24" s="424"/>
      <c r="S24" s="1164"/>
      <c r="T24" s="1164"/>
      <c r="U24" s="1164"/>
      <c r="V24" s="426"/>
      <c r="W24" s="426"/>
      <c r="X24" s="423"/>
      <c r="Y24" s="423"/>
      <c r="Z24" s="423"/>
      <c r="AA24" s="423"/>
      <c r="AB24" s="423"/>
      <c r="AC24" s="423"/>
    </row>
    <row customHeight="1" ht="15">
      <c r="A25" s="2234" t="s">
        <v>120</v>
      </c>
      <c r="B25" s="1164"/>
      <c r="C25" s="805" t="s">
        <v>103</v>
      </c>
      <c r="D25" s="1821"/>
      <c r="E25" s="1808" t="str">
        <f>A25</f>
        <v>5</v>
      </c>
      <c r="F25" s="808" t="s">
        <v>121</v>
      </c>
      <c r="G25" s="544" t="str">
        <f>"Территория "&amp;E25</f>
        <v>Территория 5</v>
      </c>
      <c r="H25" s="796"/>
      <c r="I25" s="796"/>
      <c r="J25" s="793"/>
      <c r="K25" s="1628"/>
      <c r="L25" s="1628"/>
      <c r="M25" s="1628"/>
      <c r="N25" s="230"/>
      <c r="O25" s="1628"/>
      <c r="P25" s="229"/>
      <c r="Q25" s="229"/>
      <c r="R25" s="229"/>
      <c r="S25" s="229"/>
      <c r="T25" s="1822"/>
      <c r="U25" s="1822"/>
      <c r="V25" s="1822"/>
      <c r="W25" s="1822"/>
      <c r="X25" s="1822"/>
      <c r="Y25" s="1822"/>
      <c r="Z25" s="1822"/>
      <c r="AA25" s="1822"/>
      <c r="AB25" s="1822"/>
      <c r="AC25" s="1822"/>
    </row>
    <row customHeight="1" ht="15">
      <c r="A26" s="2234"/>
      <c r="B26" s="1164">
        <v>1</v>
      </c>
      <c r="C26" s="1164"/>
      <c r="D26" s="804"/>
      <c r="E26" s="1816" t="str">
        <f>A25&amp;"."&amp;B26</f>
        <v>5.1</v>
      </c>
      <c r="F26" s="807" t="s">
        <v>122</v>
      </c>
      <c r="G26" s="797" t="s">
        <v>123</v>
      </c>
      <c r="H26" s="797" t="s">
        <v>124</v>
      </c>
      <c r="I26" s="795" t="s">
        <v>125</v>
      </c>
      <c r="J26" s="1628"/>
      <c r="K26" s="1640"/>
      <c r="L26" s="1640"/>
      <c r="M26" s="1628" t="str">
        <f t="array" ref="M26:M26">IF(ISERROR(MATCH(MID(N26,1,250),MID(note_ter,1,250),0)),"n","y")</f>
        <v>n</v>
      </c>
      <c r="N26" s="1640"/>
      <c r="O26" s="1628" t="str">
        <f>H26&amp;"("&amp;I26&amp;")"</f>
        <v>Новошахтинское городское поселение(05620154)</v>
      </c>
      <c r="P26" s="1164"/>
      <c r="Q26" s="1164"/>
      <c r="R26" s="424"/>
      <c r="S26" s="1164"/>
      <c r="T26" s="1164"/>
      <c r="U26" s="1164"/>
      <c r="V26" s="426"/>
      <c r="W26" s="426"/>
      <c r="X26" s="423"/>
      <c r="Y26" s="423"/>
      <c r="Z26" s="423"/>
      <c r="AA26" s="423"/>
      <c r="AB26" s="423"/>
      <c r="AC26" s="423"/>
    </row>
    <row customHeight="1" ht="15">
      <c r="A27" s="2234"/>
      <c r="B27" s="1164"/>
      <c r="C27" s="416"/>
      <c r="D27" s="805"/>
      <c r="E27" s="425"/>
      <c r="F27" s="181"/>
      <c r="G27" s="419" t="s">
        <v>101</v>
      </c>
      <c r="H27" s="191"/>
      <c r="I27" s="428"/>
      <c r="J27" s="1640"/>
      <c r="K27" s="1640"/>
      <c r="L27" s="1640"/>
      <c r="M27" s="1640"/>
      <c r="N27" s="1628"/>
      <c r="O27" s="1640"/>
      <c r="P27" s="1164"/>
      <c r="Q27" s="1164"/>
      <c r="R27" s="424"/>
      <c r="S27" s="1164"/>
      <c r="T27" s="1164"/>
      <c r="U27" s="1164"/>
      <c r="V27" s="426"/>
      <c r="W27" s="426"/>
      <c r="X27" s="423"/>
      <c r="Y27" s="423"/>
      <c r="Z27" s="423"/>
      <c r="AA27" s="423"/>
      <c r="AB27" s="423"/>
      <c r="AC27" s="423"/>
    </row>
    <row customHeight="1" ht="15">
      <c r="A28" s="2234" t="s">
        <v>91</v>
      </c>
      <c r="B28" s="1164"/>
      <c r="C28" s="805" t="s">
        <v>103</v>
      </c>
      <c r="D28" s="1821"/>
      <c r="E28" s="1808" t="str">
        <f>A28</f>
        <v>6</v>
      </c>
      <c r="F28" s="808" t="s">
        <v>126</v>
      </c>
      <c r="G28" s="544" t="str">
        <f>"Территория "&amp;E28</f>
        <v>Территория 6</v>
      </c>
      <c r="H28" s="796"/>
      <c r="I28" s="796"/>
      <c r="J28" s="793"/>
      <c r="K28" s="1628"/>
      <c r="L28" s="1628"/>
      <c r="M28" s="1628"/>
      <c r="N28" s="230"/>
      <c r="O28" s="1628"/>
      <c r="P28" s="229"/>
      <c r="Q28" s="229"/>
      <c r="R28" s="229"/>
      <c r="S28" s="229"/>
      <c r="T28" s="1822"/>
      <c r="U28" s="1822"/>
      <c r="V28" s="1822"/>
      <c r="W28" s="1822"/>
      <c r="X28" s="1822"/>
      <c r="Y28" s="1822"/>
      <c r="Z28" s="1822"/>
      <c r="AA28" s="1822"/>
      <c r="AB28" s="1822"/>
      <c r="AC28" s="1822"/>
    </row>
    <row customHeight="1" ht="15">
      <c r="A29" s="2234"/>
      <c r="B29" s="1164">
        <v>1</v>
      </c>
      <c r="C29" s="1164"/>
      <c r="D29" s="804"/>
      <c r="E29" s="1816" t="str">
        <f>A28&amp;"."&amp;B29</f>
        <v>6.1</v>
      </c>
      <c r="F29" s="807" t="s">
        <v>91</v>
      </c>
      <c r="G29" s="797" t="s">
        <v>127</v>
      </c>
      <c r="H29" s="797" t="s">
        <v>127</v>
      </c>
      <c r="I29" s="795" t="s">
        <v>128</v>
      </c>
      <c r="J29" s="1628"/>
      <c r="K29" s="1640"/>
      <c r="L29" s="1640"/>
      <c r="M29" s="1628" t="str">
        <f t="array" ref="M29:M29">IF(ISERROR(MATCH(MID(N29,1,250),MID(note_ter,1,250),0)),"n","y")</f>
        <v>n</v>
      </c>
      <c r="N29" s="1640"/>
      <c r="O29" s="1628" t="str">
        <f>H29&amp;"("&amp;I29&amp;")"</f>
        <v>Дальнегорский городской округ(05707000)</v>
      </c>
      <c r="P29" s="1164"/>
      <c r="Q29" s="1164"/>
      <c r="R29" s="424"/>
      <c r="S29" s="1164"/>
      <c r="T29" s="1164"/>
      <c r="U29" s="1164"/>
      <c r="V29" s="426"/>
      <c r="W29" s="426"/>
      <c r="X29" s="423"/>
      <c r="Y29" s="423"/>
      <c r="Z29" s="423"/>
      <c r="AA29" s="423"/>
      <c r="AB29" s="423"/>
      <c r="AC29" s="423"/>
    </row>
    <row customHeight="1" ht="15">
      <c r="A30" s="2234"/>
      <c r="B30" s="1164"/>
      <c r="C30" s="416"/>
      <c r="D30" s="805"/>
      <c r="E30" s="425"/>
      <c r="F30" s="181"/>
      <c r="G30" s="419" t="s">
        <v>101</v>
      </c>
      <c r="H30" s="191"/>
      <c r="I30" s="428"/>
      <c r="J30" s="1640"/>
      <c r="K30" s="1640"/>
      <c r="L30" s="1640"/>
      <c r="M30" s="1640"/>
      <c r="N30" s="1628"/>
      <c r="O30" s="1640"/>
      <c r="P30" s="1164"/>
      <c r="Q30" s="1164"/>
      <c r="R30" s="424"/>
      <c r="S30" s="1164"/>
      <c r="T30" s="1164"/>
      <c r="U30" s="1164"/>
      <c r="V30" s="426"/>
      <c r="W30" s="426"/>
      <c r="X30" s="423"/>
      <c r="Y30" s="423"/>
      <c r="Z30" s="423"/>
      <c r="AA30" s="423"/>
      <c r="AB30" s="423"/>
      <c r="AC30" s="423"/>
    </row>
    <row customHeight="1" ht="15">
      <c r="A31" s="2234" t="s">
        <v>92</v>
      </c>
      <c r="B31" s="1164"/>
      <c r="C31" s="805" t="s">
        <v>103</v>
      </c>
      <c r="D31" s="1821"/>
      <c r="E31" s="1808" t="str">
        <f>A31</f>
        <v>7</v>
      </c>
      <c r="F31" s="808" t="s">
        <v>129</v>
      </c>
      <c r="G31" s="544" t="str">
        <f>"Территория "&amp;E31</f>
        <v>Территория 7</v>
      </c>
      <c r="H31" s="796"/>
      <c r="I31" s="796"/>
      <c r="J31" s="793"/>
      <c r="K31" s="1628"/>
      <c r="L31" s="1628"/>
      <c r="M31" s="1628"/>
      <c r="N31" s="230"/>
      <c r="O31" s="1628"/>
      <c r="P31" s="229"/>
      <c r="Q31" s="229"/>
      <c r="R31" s="229"/>
      <c r="S31" s="229"/>
      <c r="T31" s="1822"/>
      <c r="U31" s="1822"/>
      <c r="V31" s="1822"/>
      <c r="W31" s="1822"/>
      <c r="X31" s="1822"/>
      <c r="Y31" s="1822"/>
      <c r="Z31" s="1822"/>
      <c r="AA31" s="1822"/>
      <c r="AB31" s="1822"/>
      <c r="AC31" s="1822"/>
    </row>
    <row customHeight="1" ht="15">
      <c r="A32" s="2234"/>
      <c r="B32" s="1164">
        <v>1</v>
      </c>
      <c r="C32" s="1164"/>
      <c r="D32" s="804"/>
      <c r="E32" s="1816" t="str">
        <f>A31&amp;"."&amp;B32</f>
        <v>7.1</v>
      </c>
      <c r="F32" s="807" t="s">
        <v>130</v>
      </c>
      <c r="G32" s="797" t="s">
        <v>131</v>
      </c>
      <c r="H32" s="797" t="s">
        <v>131</v>
      </c>
      <c r="I32" s="795" t="s">
        <v>132</v>
      </c>
      <c r="J32" s="1628"/>
      <c r="K32" s="1640"/>
      <c r="L32" s="1640"/>
      <c r="M32" s="1628" t="str">
        <f t="array" ref="M32:M32">IF(ISERROR(MATCH(MID(N32,1,250),MID(note_ter,1,250),0)),"n","y")</f>
        <v>n</v>
      </c>
      <c r="N32" s="1640"/>
      <c r="O32" s="1628" t="str">
        <f>H32&amp;"("&amp;I32&amp;")"</f>
        <v>Кавалеровский муниципальный округ(05510000)</v>
      </c>
      <c r="P32" s="1164"/>
      <c r="Q32" s="1164"/>
      <c r="R32" s="424"/>
      <c r="S32" s="1164"/>
      <c r="T32" s="1164"/>
      <c r="U32" s="1164"/>
      <c r="V32" s="426"/>
      <c r="W32" s="426"/>
      <c r="X32" s="423"/>
      <c r="Y32" s="423"/>
      <c r="Z32" s="423"/>
      <c r="AA32" s="423"/>
      <c r="AB32" s="423"/>
      <c r="AC32" s="423"/>
    </row>
    <row customHeight="1" ht="15">
      <c r="A33" s="2234"/>
      <c r="B33" s="1164"/>
      <c r="C33" s="416"/>
      <c r="D33" s="805"/>
      <c r="E33" s="425"/>
      <c r="F33" s="181"/>
      <c r="G33" s="419" t="s">
        <v>101</v>
      </c>
      <c r="H33" s="191"/>
      <c r="I33" s="428"/>
      <c r="J33" s="1640"/>
      <c r="K33" s="1640"/>
      <c r="L33" s="1640"/>
      <c r="M33" s="1640"/>
      <c r="N33" s="1628"/>
      <c r="O33" s="1640"/>
      <c r="P33" s="1164"/>
      <c r="Q33" s="1164"/>
      <c r="R33" s="424"/>
      <c r="S33" s="1164"/>
      <c r="T33" s="1164"/>
      <c r="U33" s="1164"/>
      <c r="V33" s="426"/>
      <c r="W33" s="426"/>
      <c r="X33" s="423"/>
      <c r="Y33" s="423"/>
      <c r="Z33" s="423"/>
      <c r="AA33" s="423"/>
      <c r="AB33" s="423"/>
      <c r="AC33" s="423"/>
    </row>
    <row customHeight="1" ht="15">
      <c r="A34" s="2234" t="s">
        <v>133</v>
      </c>
      <c r="B34" s="1164"/>
      <c r="C34" s="805" t="s">
        <v>103</v>
      </c>
      <c r="D34" s="1821"/>
      <c r="E34" s="1808" t="str">
        <f>A34</f>
        <v>8</v>
      </c>
      <c r="F34" s="808" t="s">
        <v>134</v>
      </c>
      <c r="G34" s="544" t="str">
        <f>"Территория "&amp;E34</f>
        <v>Территория 8</v>
      </c>
      <c r="H34" s="796"/>
      <c r="I34" s="796"/>
      <c r="J34" s="793"/>
      <c r="K34" s="1628"/>
      <c r="L34" s="1628"/>
      <c r="M34" s="1628"/>
      <c r="N34" s="230"/>
      <c r="O34" s="1628"/>
      <c r="P34" s="229"/>
      <c r="Q34" s="229"/>
      <c r="R34" s="229"/>
      <c r="S34" s="229"/>
      <c r="T34" s="1822"/>
      <c r="U34" s="1822"/>
      <c r="V34" s="1822"/>
      <c r="W34" s="1822"/>
      <c r="X34" s="1822"/>
      <c r="Y34" s="1822"/>
      <c r="Z34" s="1822"/>
      <c r="AA34" s="1822"/>
      <c r="AB34" s="1822"/>
      <c r="AC34" s="1822"/>
    </row>
    <row customHeight="1" ht="15">
      <c r="A35" s="2234"/>
      <c r="B35" s="1164">
        <v>1</v>
      </c>
      <c r="C35" s="1164"/>
      <c r="D35" s="804"/>
      <c r="E35" s="1816" t="str">
        <f>A34&amp;"."&amp;B35</f>
        <v>8.1</v>
      </c>
      <c r="F35" s="807" t="s">
        <v>135</v>
      </c>
      <c r="G35" s="797" t="s">
        <v>136</v>
      </c>
      <c r="H35" s="797" t="s">
        <v>136</v>
      </c>
      <c r="I35" s="795" t="s">
        <v>137</v>
      </c>
      <c r="J35" s="1628"/>
      <c r="K35" s="1640"/>
      <c r="L35" s="1640"/>
      <c r="M35" s="1628" t="str">
        <f t="array" ref="M35:M35">IF(ISERROR(MATCH(MID(N35,1,250),MID(note_ter,1,250),0)),"n","y")</f>
        <v>n</v>
      </c>
      <c r="N35" s="1640"/>
      <c r="O35" s="1628" t="str">
        <f>H35&amp;"("&amp;I35&amp;")"</f>
        <v>Черниговский муниципальный округ(05553000)</v>
      </c>
      <c r="P35" s="1164"/>
      <c r="Q35" s="1164"/>
      <c r="R35" s="424"/>
      <c r="S35" s="1164"/>
      <c r="T35" s="1164"/>
      <c r="U35" s="1164"/>
      <c r="V35" s="426"/>
      <c r="W35" s="426"/>
      <c r="X35" s="423"/>
      <c r="Y35" s="423"/>
      <c r="Z35" s="423"/>
      <c r="AA35" s="423"/>
      <c r="AB35" s="423"/>
      <c r="AC35" s="423"/>
    </row>
    <row customHeight="1" ht="15">
      <c r="A36" s="1883"/>
      <c r="B36" s="1370" t="s">
        <v>102</v>
      </c>
      <c r="C36" s="1370"/>
      <c r="D36" s="804" t="s">
        <v>103</v>
      </c>
      <c r="E36" s="1879" t="str">
        <f>A34&amp;"."&amp;B36</f>
        <v>8.2</v>
      </c>
      <c r="F36" s="1884" t="s">
        <v>138</v>
      </c>
      <c r="G36" s="1888" t="s">
        <v>139</v>
      </c>
      <c r="H36" s="1888" t="s">
        <v>140</v>
      </c>
      <c r="I36" s="1886" t="s">
        <v>141</v>
      </c>
      <c r="J36" s="1628"/>
      <c r="K36" s="1640"/>
      <c r="L36" s="1640"/>
      <c r="M36" s="1628" t="str">
        <f t="array" ref="M36:M36">IF(ISERROR(MATCH(MID(N36,1,250),MID(note_ter,1,250),0)),"n","y")</f>
        <v>n</v>
      </c>
      <c r="N36" s="1640"/>
      <c r="O36" s="1628" t="str">
        <f>H36&amp;"("&amp;I36&amp;")"</f>
        <v>Дмитриевское сельское поселение(05653410)</v>
      </c>
      <c r="P36" s="1370"/>
      <c r="Q36" s="1370"/>
      <c r="R36" s="424"/>
      <c r="S36" s="1370"/>
      <c r="T36" s="1370"/>
      <c r="U36" s="1370"/>
      <c r="V36" s="837"/>
      <c r="W36" s="837"/>
      <c r="X36" s="631"/>
      <c r="Y36" s="631"/>
      <c r="Z36" s="631"/>
      <c r="AA36" s="631"/>
      <c r="AB36" s="631"/>
      <c r="AC36" s="631"/>
    </row>
    <row s="1851" customFormat="1" customHeight="1" ht="15">
      <c r="A37" s="1883"/>
      <c r="B37" s="1370" t="s">
        <v>89</v>
      </c>
      <c r="C37" s="1370"/>
      <c r="D37" s="804" t="s">
        <v>103</v>
      </c>
      <c r="E37" s="1879" t="str">
        <f>A34&amp;"."&amp;B37</f>
        <v>8.3</v>
      </c>
      <c r="F37" s="1884" t="s">
        <v>142</v>
      </c>
      <c r="G37" s="1888" t="s">
        <v>139</v>
      </c>
      <c r="H37" s="1888" t="s">
        <v>143</v>
      </c>
      <c r="I37" s="1886" t="s">
        <v>144</v>
      </c>
      <c r="J37" s="1628"/>
      <c r="K37" s="1640"/>
      <c r="L37" s="1640"/>
      <c r="M37" s="1628" t="str">
        <f t="array" ref="M37:M37">IF(ISERROR(MATCH(MID(N37,1,250),MID(note_ter,1,250),0)),"n","y")</f>
        <v>n</v>
      </c>
      <c r="N37" s="1640"/>
      <c r="O37" s="1628" t="str">
        <f>H37&amp;"("&amp;I37&amp;")"</f>
        <v>Реттиховское городское поселение(05653422)</v>
      </c>
      <c r="P37" s="1370"/>
      <c r="Q37" s="1370"/>
      <c r="R37" s="424"/>
      <c r="S37" s="1370"/>
      <c r="T37" s="1370"/>
      <c r="U37" s="1370"/>
      <c r="V37" s="837"/>
      <c r="W37" s="837"/>
      <c r="X37" s="631"/>
      <c r="Y37" s="631"/>
      <c r="Z37" s="631"/>
      <c r="AA37" s="631"/>
      <c r="AB37" s="631"/>
      <c r="AC37" s="631"/>
    </row>
    <row s="1851" customFormat="1" customHeight="1" ht="15">
      <c r="A38" s="1883"/>
      <c r="B38" s="1370" t="s">
        <v>90</v>
      </c>
      <c r="C38" s="1370"/>
      <c r="D38" s="804" t="s">
        <v>103</v>
      </c>
      <c r="E38" s="1879" t="str">
        <f>A34&amp;"."&amp;B38</f>
        <v>8.4</v>
      </c>
      <c r="F38" s="1884" t="s">
        <v>145</v>
      </c>
      <c r="G38" s="1888" t="s">
        <v>139</v>
      </c>
      <c r="H38" s="1888" t="s">
        <v>146</v>
      </c>
      <c r="I38" s="1886" t="s">
        <v>147</v>
      </c>
      <c r="J38" s="1628"/>
      <c r="K38" s="1640"/>
      <c r="L38" s="1640"/>
      <c r="M38" s="1628" t="str">
        <f t="array" ref="M38:M38">IF(ISERROR(MATCH(MID(N38,1,250),MID(note_ter,1,250),0)),"n","y")</f>
        <v>n</v>
      </c>
      <c r="N38" s="1640"/>
      <c r="O38" s="1628" t="str">
        <f>H38&amp;"("&amp;I38&amp;")"</f>
        <v>Снегуровское(05653419)</v>
      </c>
      <c r="P38" s="1370"/>
      <c r="Q38" s="1370"/>
      <c r="R38" s="424"/>
      <c r="S38" s="1370"/>
      <c r="T38" s="1370"/>
      <c r="U38" s="1370"/>
      <c r="V38" s="837"/>
      <c r="W38" s="837"/>
      <c r="X38" s="631"/>
      <c r="Y38" s="631"/>
      <c r="Z38" s="631"/>
      <c r="AA38" s="631"/>
      <c r="AB38" s="631"/>
      <c r="AC38" s="631"/>
    </row>
    <row customHeight="1" ht="15">
      <c r="A39" s="2234"/>
      <c r="B39" s="1164"/>
      <c r="C39" s="416"/>
      <c r="D39" s="805"/>
      <c r="E39" s="425"/>
      <c r="F39" s="181"/>
      <c r="G39" s="419" t="s">
        <v>101</v>
      </c>
      <c r="H39" s="191"/>
      <c r="I39" s="428"/>
      <c r="J39" s="1640"/>
      <c r="K39" s="1640"/>
      <c r="L39" s="1640"/>
      <c r="M39" s="1640"/>
      <c r="N39" s="1628"/>
      <c r="O39" s="1640"/>
      <c r="P39" s="1164"/>
      <c r="Q39" s="1164"/>
      <c r="R39" s="424"/>
      <c r="S39" s="1164"/>
      <c r="T39" s="1164"/>
      <c r="U39" s="1164"/>
      <c r="V39" s="426"/>
      <c r="W39" s="426"/>
      <c r="X39" s="423"/>
      <c r="Y39" s="423"/>
      <c r="Z39" s="423"/>
      <c r="AA39" s="423"/>
      <c r="AB39" s="423"/>
      <c r="AC39" s="423"/>
    </row>
    <row customHeight="1" ht="15">
      <c r="A40" s="2234" t="s">
        <v>148</v>
      </c>
      <c r="B40" s="1164"/>
      <c r="C40" s="805" t="s">
        <v>103</v>
      </c>
      <c r="D40" s="1821"/>
      <c r="E40" s="1808" t="str">
        <f>A40</f>
        <v>9</v>
      </c>
      <c r="F40" s="808" t="s">
        <v>149</v>
      </c>
      <c r="G40" s="544" t="str">
        <f>"Территория "&amp;E40</f>
        <v>Территория 9</v>
      </c>
      <c r="H40" s="796"/>
      <c r="I40" s="796"/>
      <c r="J40" s="793"/>
      <c r="K40" s="1628"/>
      <c r="L40" s="1628"/>
      <c r="M40" s="1628"/>
      <c r="N40" s="230"/>
      <c r="O40" s="1628"/>
      <c r="P40" s="229"/>
      <c r="Q40" s="229"/>
      <c r="R40" s="229"/>
      <c r="S40" s="229"/>
      <c r="T40" s="1822"/>
      <c r="U40" s="1822"/>
      <c r="V40" s="1822"/>
      <c r="W40" s="1822"/>
      <c r="X40" s="1822"/>
      <c r="Y40" s="1822"/>
      <c r="Z40" s="1822"/>
      <c r="AA40" s="1822"/>
      <c r="AB40" s="1822"/>
      <c r="AC40" s="1822"/>
    </row>
    <row customHeight="1" ht="15">
      <c r="A41" s="2234"/>
      <c r="B41" s="1164">
        <v>1</v>
      </c>
      <c r="C41" s="1164"/>
      <c r="D41" s="804"/>
      <c r="E41" s="1816" t="str">
        <f>A40&amp;"."&amp;B41</f>
        <v>9.1</v>
      </c>
      <c r="F41" s="807" t="s">
        <v>120</v>
      </c>
      <c r="G41" s="797" t="s">
        <v>150</v>
      </c>
      <c r="H41" s="797" t="s">
        <v>150</v>
      </c>
      <c r="I41" s="795" t="s">
        <v>151</v>
      </c>
      <c r="J41" s="1628"/>
      <c r="K41" s="1640"/>
      <c r="L41" s="1640"/>
      <c r="M41" s="1628" t="str">
        <f t="array" ref="M41:M41">IF(ISERROR(MATCH(MID(N41,1,250),MID(note_ter,1,250),0)),"n","y")</f>
        <v>n</v>
      </c>
      <c r="N41" s="1640"/>
      <c r="O41" s="1628" t="str">
        <f>H41&amp;"("&amp;I41&amp;")"</f>
        <v>Городской округ Спасск-Дальний(05720000)</v>
      </c>
      <c r="P41" s="1164"/>
      <c r="Q41" s="1164"/>
      <c r="R41" s="424"/>
      <c r="S41" s="1164"/>
      <c r="T41" s="1164"/>
      <c r="U41" s="1164"/>
      <c r="V41" s="426"/>
      <c r="W41" s="426"/>
      <c r="X41" s="423"/>
      <c r="Y41" s="423"/>
      <c r="Z41" s="423"/>
      <c r="AA41" s="423"/>
      <c r="AB41" s="423"/>
      <c r="AC41" s="423"/>
    </row>
    <row customHeight="1" ht="15">
      <c r="A42" s="1883"/>
      <c r="B42" s="1370" t="s">
        <v>102</v>
      </c>
      <c r="C42" s="1370"/>
      <c r="D42" s="804" t="s">
        <v>103</v>
      </c>
      <c r="E42" s="1879" t="str">
        <f>A40&amp;"."&amp;B42</f>
        <v>9.2</v>
      </c>
      <c r="F42" s="1884" t="s">
        <v>152</v>
      </c>
      <c r="G42" s="1888" t="s">
        <v>153</v>
      </c>
      <c r="H42" s="1888" t="s">
        <v>153</v>
      </c>
      <c r="I42" s="1886" t="s">
        <v>154</v>
      </c>
      <c r="J42" s="1628"/>
      <c r="K42" s="1640"/>
      <c r="L42" s="1640"/>
      <c r="M42" s="1628" t="str">
        <f t="array" ref="M42:M42">IF(ISERROR(MATCH(MID(N42,1,250),MID(note_ter,1,250),0)),"n","y")</f>
        <v>n</v>
      </c>
      <c r="N42" s="1640"/>
      <c r="O42" s="1628" t="str">
        <f>H42&amp;"("&amp;I42&amp;")"</f>
        <v>Спасский муниципальный район(05637000)</v>
      </c>
      <c r="P42" s="1370"/>
      <c r="Q42" s="1370"/>
      <c r="R42" s="424"/>
      <c r="S42" s="1370"/>
      <c r="T42" s="1370"/>
      <c r="U42" s="1370"/>
      <c r="V42" s="837"/>
      <c r="W42" s="837"/>
      <c r="X42" s="631"/>
      <c r="Y42" s="631"/>
      <c r="Z42" s="631"/>
      <c r="AA42" s="631"/>
      <c r="AB42" s="631"/>
      <c r="AC42" s="631"/>
    </row>
    <row customHeight="1" ht="15">
      <c r="A43" s="2234"/>
      <c r="B43" s="1164"/>
      <c r="C43" s="416"/>
      <c r="D43" s="805"/>
      <c r="E43" s="425"/>
      <c r="F43" s="181"/>
      <c r="G43" s="419" t="s">
        <v>101</v>
      </c>
      <c r="H43" s="191"/>
      <c r="I43" s="428"/>
      <c r="J43" s="1640"/>
      <c r="K43" s="1640"/>
      <c r="L43" s="1640"/>
      <c r="M43" s="1640"/>
      <c r="N43" s="1628"/>
      <c r="O43" s="1640"/>
      <c r="P43" s="1164"/>
      <c r="Q43" s="1164"/>
      <c r="R43" s="424"/>
      <c r="S43" s="1164"/>
      <c r="T43" s="1164"/>
      <c r="U43" s="1164"/>
      <c r="V43" s="426"/>
      <c r="W43" s="426"/>
      <c r="X43" s="423"/>
      <c r="Y43" s="423"/>
      <c r="Z43" s="423"/>
      <c r="AA43" s="423"/>
      <c r="AB43" s="423"/>
      <c r="AC43" s="423"/>
    </row>
    <row customHeight="1" ht="15">
      <c r="A44" s="2234" t="s">
        <v>155</v>
      </c>
      <c r="B44" s="1164"/>
      <c r="C44" s="805" t="s">
        <v>103</v>
      </c>
      <c r="D44" s="1821"/>
      <c r="E44" s="1808" t="str">
        <f>A44</f>
        <v>10</v>
      </c>
      <c r="F44" s="808" t="s">
        <v>156</v>
      </c>
      <c r="G44" s="544" t="str">
        <f>"Территория "&amp;E44</f>
        <v>Территория 10</v>
      </c>
      <c r="H44" s="796"/>
      <c r="I44" s="796"/>
      <c r="J44" s="793"/>
      <c r="K44" s="1628"/>
      <c r="L44" s="1628"/>
      <c r="M44" s="1628"/>
      <c r="N44" s="230"/>
      <c r="O44" s="1628"/>
      <c r="P44" s="229"/>
      <c r="Q44" s="229"/>
      <c r="R44" s="229"/>
      <c r="S44" s="229"/>
      <c r="T44" s="1822"/>
      <c r="U44" s="1822"/>
      <c r="V44" s="1822"/>
      <c r="W44" s="1822"/>
      <c r="X44" s="1822"/>
      <c r="Y44" s="1822"/>
      <c r="Z44" s="1822"/>
      <c r="AA44" s="1822"/>
      <c r="AB44" s="1822"/>
      <c r="AC44" s="1822"/>
    </row>
    <row customHeight="1" ht="15">
      <c r="A45" s="2234"/>
      <c r="B45" s="1164">
        <v>1</v>
      </c>
      <c r="C45" s="1164"/>
      <c r="D45" s="804"/>
      <c r="E45" s="1816" t="str">
        <f>A44&amp;"."&amp;B45</f>
        <v>10.1</v>
      </c>
      <c r="F45" s="807" t="s">
        <v>157</v>
      </c>
      <c r="G45" s="797" t="s">
        <v>158</v>
      </c>
      <c r="H45" s="797" t="s">
        <v>159</v>
      </c>
      <c r="I45" s="795" t="s">
        <v>160</v>
      </c>
      <c r="J45" s="1628"/>
      <c r="K45" s="1640"/>
      <c r="L45" s="1640"/>
      <c r="M45" s="1628" t="str">
        <f t="array" ref="M45:M45">IF(ISERROR(MATCH(MID(N45,1,250),MID(note_ter,1,250),0)),"n","y")</f>
        <v>n</v>
      </c>
      <c r="N45" s="1640"/>
      <c r="O45" s="1628" t="str">
        <f>H45&amp;"("&amp;I45&amp;")"</f>
        <v>Глубинненское(05614408)</v>
      </c>
      <c r="P45" s="1164"/>
      <c r="Q45" s="1164"/>
      <c r="R45" s="424"/>
      <c r="S45" s="1164"/>
      <c r="T45" s="1164"/>
      <c r="U45" s="1164"/>
      <c r="V45" s="426"/>
      <c r="W45" s="426"/>
      <c r="X45" s="423"/>
      <c r="Y45" s="423"/>
      <c r="Z45" s="423"/>
      <c r="AA45" s="423"/>
      <c r="AB45" s="423"/>
      <c r="AC45" s="423"/>
    </row>
    <row customHeight="1" ht="15">
      <c r="A46" s="2234"/>
      <c r="B46" s="1164"/>
      <c r="C46" s="416"/>
      <c r="D46" s="805"/>
      <c r="E46" s="425"/>
      <c r="F46" s="181"/>
      <c r="G46" s="419" t="s">
        <v>101</v>
      </c>
      <c r="H46" s="191"/>
      <c r="I46" s="428"/>
      <c r="J46" s="1640"/>
      <c r="K46" s="1640"/>
      <c r="L46" s="1640"/>
      <c r="M46" s="1640"/>
      <c r="N46" s="1628"/>
      <c r="O46" s="1640"/>
      <c r="P46" s="1164"/>
      <c r="Q46" s="1164"/>
      <c r="R46" s="424"/>
      <c r="S46" s="1164"/>
      <c r="T46" s="1164"/>
      <c r="U46" s="1164"/>
      <c r="V46" s="426"/>
      <c r="W46" s="426"/>
      <c r="X46" s="423"/>
      <c r="Y46" s="423"/>
      <c r="Z46" s="423"/>
      <c r="AA46" s="423"/>
      <c r="AB46" s="423"/>
      <c r="AC46" s="423"/>
    </row>
    <row customHeight="1" ht="15">
      <c r="A47" s="2234" t="s">
        <v>161</v>
      </c>
      <c r="B47" s="1164"/>
      <c r="C47" s="805" t="s">
        <v>103</v>
      </c>
      <c r="D47" s="1821"/>
      <c r="E47" s="1808" t="str">
        <f>A47</f>
        <v>11</v>
      </c>
      <c r="F47" s="808" t="s">
        <v>162</v>
      </c>
      <c r="G47" s="544" t="str">
        <f>"Территория "&amp;E47</f>
        <v>Территория 11</v>
      </c>
      <c r="H47" s="796"/>
      <c r="I47" s="796"/>
      <c r="J47" s="793"/>
      <c r="K47" s="1628"/>
      <c r="L47" s="1628"/>
      <c r="M47" s="1628"/>
      <c r="N47" s="230"/>
      <c r="O47" s="1628"/>
      <c r="P47" s="229"/>
      <c r="Q47" s="229"/>
      <c r="R47" s="229"/>
      <c r="S47" s="229"/>
      <c r="T47" s="1822"/>
      <c r="U47" s="1822"/>
      <c r="V47" s="1822"/>
      <c r="W47" s="1822"/>
      <c r="X47" s="1822"/>
      <c r="Y47" s="1822"/>
      <c r="Z47" s="1822"/>
      <c r="AA47" s="1822"/>
      <c r="AB47" s="1822"/>
      <c r="AC47" s="1822"/>
    </row>
    <row customHeight="1" ht="15">
      <c r="A48" s="2234"/>
      <c r="B48" s="1164">
        <v>1</v>
      </c>
      <c r="C48" s="1164"/>
      <c r="D48" s="804"/>
      <c r="E48" s="1816" t="str">
        <f>A47&amp;"."&amp;B48</f>
        <v>11.1</v>
      </c>
      <c r="F48" s="807" t="s">
        <v>92</v>
      </c>
      <c r="G48" s="797" t="s">
        <v>163</v>
      </c>
      <c r="H48" s="797" t="s">
        <v>163</v>
      </c>
      <c r="I48" s="795" t="s">
        <v>164</v>
      </c>
      <c r="J48" s="1628"/>
      <c r="K48" s="1640"/>
      <c r="L48" s="1640"/>
      <c r="M48" s="1628" t="str">
        <f t="array" ref="M48:M48">IF(ISERROR(MATCH(MID(N48,1,250),MID(note_ter,1,250),0)),"n","y")</f>
        <v>n</v>
      </c>
      <c r="N48" s="1640"/>
      <c r="O48" s="1628" t="str">
        <f>H48&amp;"("&amp;I48&amp;")"</f>
        <v>Дальнереченский городской округ(05708000)</v>
      </c>
      <c r="P48" s="1164"/>
      <c r="Q48" s="1164"/>
      <c r="R48" s="424"/>
      <c r="S48" s="1164"/>
      <c r="T48" s="1164"/>
      <c r="U48" s="1164"/>
      <c r="V48" s="426"/>
      <c r="W48" s="426"/>
      <c r="X48" s="423"/>
      <c r="Y48" s="423"/>
      <c r="Z48" s="423"/>
      <c r="AA48" s="423"/>
      <c r="AB48" s="423"/>
      <c r="AC48" s="423"/>
    </row>
    <row customHeight="1" ht="15">
      <c r="A49" s="2234"/>
      <c r="B49" s="1164"/>
      <c r="C49" s="416"/>
      <c r="D49" s="805"/>
      <c r="E49" s="425"/>
      <c r="F49" s="181"/>
      <c r="G49" s="419" t="s">
        <v>101</v>
      </c>
      <c r="H49" s="191"/>
      <c r="I49" s="428"/>
      <c r="J49" s="1640"/>
      <c r="K49" s="1640"/>
      <c r="L49" s="1640"/>
      <c r="M49" s="1640"/>
      <c r="N49" s="1628"/>
      <c r="O49" s="1640"/>
      <c r="P49" s="1164"/>
      <c r="Q49" s="1164"/>
      <c r="R49" s="424"/>
      <c r="S49" s="1164"/>
      <c r="T49" s="1164"/>
      <c r="U49" s="1164"/>
      <c r="V49" s="426"/>
      <c r="W49" s="426"/>
      <c r="X49" s="423"/>
      <c r="Y49" s="423"/>
      <c r="Z49" s="423"/>
      <c r="AA49" s="423"/>
      <c r="AB49" s="423"/>
      <c r="AC49" s="423"/>
    </row>
    <row customHeight="1" ht="15">
      <c r="A50" s="2234" t="s">
        <v>165</v>
      </c>
      <c r="B50" s="1164"/>
      <c r="C50" s="805" t="s">
        <v>103</v>
      </c>
      <c r="D50" s="1821"/>
      <c r="E50" s="1808" t="str">
        <f>A50</f>
        <v>12</v>
      </c>
      <c r="F50" s="808" t="s">
        <v>166</v>
      </c>
      <c r="G50" s="544" t="str">
        <f>"Территория "&amp;E50</f>
        <v>Территория 12</v>
      </c>
      <c r="H50" s="796"/>
      <c r="I50" s="796"/>
      <c r="J50" s="793"/>
      <c r="K50" s="1628"/>
      <c r="L50" s="1628"/>
      <c r="M50" s="1628"/>
      <c r="N50" s="230"/>
      <c r="O50" s="1628"/>
      <c r="P50" s="229"/>
      <c r="Q50" s="229"/>
      <c r="R50" s="229"/>
      <c r="S50" s="229"/>
      <c r="T50" s="1822"/>
      <c r="U50" s="1822"/>
      <c r="V50" s="1822"/>
      <c r="W50" s="1822"/>
      <c r="X50" s="1822"/>
      <c r="Y50" s="1822"/>
      <c r="Z50" s="1822"/>
      <c r="AA50" s="1822"/>
      <c r="AB50" s="1822"/>
      <c r="AC50" s="1822"/>
    </row>
    <row customHeight="1" ht="15">
      <c r="A51" s="2234"/>
      <c r="B51" s="1164">
        <v>1</v>
      </c>
      <c r="C51" s="1164"/>
      <c r="D51" s="804"/>
      <c r="E51" s="1816" t="str">
        <f>A50&amp;"."&amp;B51</f>
        <v>12.1</v>
      </c>
      <c r="F51" s="807" t="s">
        <v>167</v>
      </c>
      <c r="G51" s="797" t="s">
        <v>168</v>
      </c>
      <c r="H51" s="797" t="s">
        <v>169</v>
      </c>
      <c r="I51" s="795" t="s">
        <v>170</v>
      </c>
      <c r="J51" s="1628"/>
      <c r="K51" s="1640"/>
      <c r="L51" s="1640"/>
      <c r="M51" s="1628" t="str">
        <f t="array" ref="M51:M51">IF(ISERROR(MATCH(MID(N51,1,250),MID(note_ter,1,250),0)),"n","y")</f>
        <v>n</v>
      </c>
      <c r="N51" s="1640"/>
      <c r="O51" s="1628" t="str">
        <f>H51&amp;"("&amp;I51&amp;")"</f>
        <v>Варфоломеевское сельское поселение(05659407)</v>
      </c>
      <c r="P51" s="1164"/>
      <c r="Q51" s="1164"/>
      <c r="R51" s="424"/>
      <c r="S51" s="1164"/>
      <c r="T51" s="1164"/>
      <c r="U51" s="1164"/>
      <c r="V51" s="426"/>
      <c r="W51" s="426"/>
      <c r="X51" s="423"/>
      <c r="Y51" s="423"/>
      <c r="Z51" s="423"/>
      <c r="AA51" s="423"/>
      <c r="AB51" s="423"/>
      <c r="AC51" s="423"/>
    </row>
    <row customHeight="1" ht="15">
      <c r="A52" s="2234"/>
      <c r="B52" s="1164"/>
      <c r="C52" s="416"/>
      <c r="D52" s="805"/>
      <c r="E52" s="425"/>
      <c r="F52" s="181"/>
      <c r="G52" s="419" t="s">
        <v>101</v>
      </c>
      <c r="H52" s="191"/>
      <c r="I52" s="428"/>
      <c r="J52" s="1640"/>
      <c r="K52" s="1640"/>
      <c r="L52" s="1640"/>
      <c r="M52" s="1640"/>
      <c r="N52" s="1628"/>
      <c r="O52" s="1640"/>
      <c r="P52" s="1164"/>
      <c r="Q52" s="1164"/>
      <c r="R52" s="424"/>
      <c r="S52" s="1164"/>
      <c r="T52" s="1164"/>
      <c r="U52" s="1164"/>
      <c r="V52" s="426"/>
      <c r="W52" s="426"/>
      <c r="X52" s="423"/>
      <c r="Y52" s="423"/>
      <c r="Z52" s="423"/>
      <c r="AA52" s="423"/>
      <c r="AB52" s="423"/>
      <c r="AC52" s="423"/>
    </row>
    <row s="1822" customFormat="1" customHeight="1" ht="14.699999999999998">
      <c r="A53" s="762"/>
      <c r="B53" s="421"/>
      <c r="C53" s="762"/>
      <c r="D53" s="786"/>
      <c r="E53" s="798"/>
      <c r="F53" s="182"/>
      <c r="G53" s="420" t="s">
        <v>171</v>
      </c>
      <c r="H53" s="182"/>
      <c r="I53" s="183"/>
      <c r="J53" s="253"/>
      <c r="K53" s="159"/>
      <c r="L53" s="159"/>
      <c r="M53" s="159"/>
      <c r="N53" s="230" t="s">
        <v>172</v>
      </c>
      <c r="O53" s="159"/>
      <c r="P53" s="229"/>
      <c r="Q53" s="229"/>
      <c r="R53" s="229"/>
      <c r="S53" s="229"/>
      <c r="AC53" s="120">
        <v>14</v>
      </c>
    </row>
    <row s="1822" customFormat="1" customHeight="1" ht="22.049999999999997">
      <c r="A54" s="762"/>
      <c r="B54" s="421"/>
      <c r="C54" s="762"/>
      <c r="D54" s="169"/>
      <c r="E54" s="184"/>
      <c r="F54" s="184"/>
      <c r="G54" s="184"/>
      <c r="H54" s="184"/>
      <c r="I54" s="184"/>
      <c r="J54" s="159"/>
      <c r="K54" s="159"/>
      <c r="L54" s="159"/>
      <c r="M54" s="159"/>
      <c r="N54" s="230"/>
      <c r="O54" s="159"/>
      <c r="P54" s="229"/>
      <c r="Q54" s="229"/>
      <c r="R54" s="229"/>
      <c r="S54" s="229"/>
      <c r="AC54" s="120">
        <v>21</v>
      </c>
    </row>
    <row s="1822" customFormat="1" customHeight="1" ht="14.699999999999998">
      <c r="A55" s="762"/>
      <c r="B55" s="421"/>
      <c r="C55" s="762"/>
      <c r="D55" s="169"/>
      <c r="E55" s="87"/>
      <c r="F55" s="762"/>
      <c r="G55" s="87"/>
      <c r="H55" s="87"/>
      <c r="I55" s="87"/>
      <c r="J55" s="159"/>
      <c r="K55" s="159"/>
      <c r="L55" s="159"/>
      <c r="M55" s="159"/>
      <c r="N55" s="230"/>
      <c r="O55" s="159"/>
      <c r="P55" s="229"/>
      <c r="Q55" s="229"/>
      <c r="R55" s="229"/>
      <c r="S55" s="229"/>
      <c r="AC55" s="120">
        <v>14</v>
      </c>
    </row>
    <row s="1822" customFormat="1" customHeight="1" ht="1.05">
      <c r="A56" s="762"/>
      <c r="B56" s="421"/>
      <c r="C56" s="762"/>
      <c r="D56" s="169"/>
      <c r="E56" s="87"/>
      <c r="F56" s="762"/>
      <c r="G56" s="87"/>
      <c r="H56" s="87"/>
      <c r="I56" s="87"/>
      <c r="J56" s="159"/>
      <c r="K56" s="159"/>
      <c r="L56" s="159"/>
      <c r="M56" s="159"/>
      <c r="N56" s="230"/>
      <c r="O56" s="159"/>
      <c r="P56" s="229"/>
      <c r="Q56" s="229"/>
      <c r="R56" s="229"/>
      <c r="S56" s="229"/>
      <c r="AC56" s="120">
        <v>1</v>
      </c>
    </row>
    <row s="1068" customFormat="1" customHeight="1" ht="10.5">
      <c r="B57" s="838"/>
      <c r="D57" s="186"/>
      <c r="J57" s="159"/>
      <c r="K57" s="159"/>
      <c r="L57" s="159"/>
      <c r="M57" s="159"/>
      <c r="N57" s="230"/>
      <c r="O57" s="159"/>
      <c r="P57" s="229"/>
      <c r="Q57" s="229"/>
      <c r="R57" s="229"/>
      <c r="S57" s="229"/>
      <c r="AC57" s="185">
        <v>10</v>
      </c>
    </row>
    <row s="1068" customFormat="1" customHeight="1" ht="10.5">
      <c r="B58" s="838"/>
      <c r="D58" s="186"/>
      <c r="J58" s="159"/>
      <c r="K58" s="159"/>
      <c r="L58" s="159"/>
      <c r="M58" s="159"/>
      <c r="N58" s="230"/>
      <c r="O58" s="159"/>
      <c r="P58" s="229"/>
      <c r="Q58" s="229"/>
      <c r="R58" s="229"/>
      <c r="S58" s="229"/>
      <c r="AC58" s="185">
        <v>10</v>
      </c>
    </row>
    <row customHeight="1" ht="14.699999999999998">
      <c r="AC59" s="87">
        <v>14</v>
      </c>
    </row>
    <row customHeight="1" ht="14.699999999999998">
      <c r="AC60" s="87">
        <v>14</v>
      </c>
    </row>
    <row customHeight="1" ht="14.699999999999998">
      <c r="AC61" s="87">
        <v>14</v>
      </c>
    </row>
    <row customHeight="1" ht="14.699999999999998">
      <c r="H62" s="68"/>
      <c r="AC62" s="87">
        <v>14</v>
      </c>
    </row>
    <row customHeight="1" ht="14.699999999999998">
      <c r="AC63" s="87">
        <v>14</v>
      </c>
    </row>
    <row customHeight="1" ht="14.699999999999998">
      <c r="AC64" s="87">
        <v>14</v>
      </c>
    </row>
    <row customHeight="1" ht="14.699999999999998">
      <c r="AC65" s="87">
        <v>14</v>
      </c>
    </row>
    <row customHeight="1" ht="14.699999999999998">
      <c r="J66" s="87"/>
      <c r="K66" s="87"/>
      <c r="L66" s="87"/>
      <c r="AC66" s="87">
        <v>14</v>
      </c>
    </row>
    <row customHeight="1" ht="22.5" hidden="1">
      <c r="A67" s="762" t="s">
        <v>81</v>
      </c>
      <c r="B67" s="421">
        <v>0</v>
      </c>
      <c r="C67" s="762">
        <v>3</v>
      </c>
      <c r="D67" s="169">
        <v>3</v>
      </c>
      <c r="E67" s="87">
        <v>6</v>
      </c>
      <c r="F67" s="762">
        <v>0</v>
      </c>
      <c r="G67" s="87">
        <v>46</v>
      </c>
      <c r="H67" s="87">
        <v>42</v>
      </c>
      <c r="I67" s="87">
        <v>14</v>
      </c>
      <c r="J67" s="159">
        <v>3</v>
      </c>
      <c r="K67" s="159">
        <v>0</v>
      </c>
      <c r="L67" s="159">
        <v>0</v>
      </c>
      <c r="M67" s="159">
        <v>0</v>
      </c>
      <c r="N67" s="230">
        <v>0</v>
      </c>
      <c r="O67" s="159">
        <v>0</v>
      </c>
      <c r="P67" s="229">
        <v>0</v>
      </c>
      <c r="Q67" s="229">
        <v>0</v>
      </c>
      <c r="R67" s="229">
        <v>0</v>
      </c>
      <c r="S67" s="229">
        <v>0</v>
      </c>
      <c r="T67" s="87">
        <v>0</v>
      </c>
      <c r="U67" s="87">
        <v>0</v>
      </c>
      <c r="V67" s="87">
        <v>0</v>
      </c>
      <c r="W67" s="87">
        <v>0</v>
      </c>
      <c r="X67" s="87">
        <v>0</v>
      </c>
      <c r="Y67" s="87">
        <v>0</v>
      </c>
      <c r="Z67" s="87">
        <v>0</v>
      </c>
      <c r="AA67" s="87">
        <v>0</v>
      </c>
      <c r="AB67" s="87">
        <v>8</v>
      </c>
      <c r="AC67" s="87">
        <v>23</v>
      </c>
    </row>
  </sheetData>
  <sheetProtection formatColumns="0" formatRows="0" autoFilter="0" sort="0" insertRows="0" insertColumns="1" deleteRows="0" deleteColumns="0"/>
  <mergeCells count="15">
    <mergeCell ref="A12:A14"/>
    <mergeCell ref="E4:I4"/>
    <mergeCell ref="E8:G8"/>
    <mergeCell ref="H8:I8"/>
    <mergeCell ref="A15:A17"/>
    <mergeCell ref="A18:A21"/>
    <mergeCell ref="A22:A24"/>
    <mergeCell ref="A25:A27"/>
    <mergeCell ref="A28:A30"/>
    <mergeCell ref="A31:A33"/>
    <mergeCell ref="A34:A39"/>
    <mergeCell ref="A40:A43"/>
    <mergeCell ref="A44:A46"/>
    <mergeCell ref="A47:A49"/>
    <mergeCell ref="A50:A52"/>
  </mergeCells>
  <dataValidations count="1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4">
      <formula1>900</formula1>
    </dataValidation>
    <dataValidation type="textLength" operator="lessThanOrEqual" allowBlank="1" showInputMessage="1" showErrorMessage="1" errorTitle="Ошибка" error="Допускается ввод не более 900 символов!" sqref="G47">
      <formula1>900</formula1>
    </dataValidation>
    <dataValidation type="textLength" operator="lessThanOrEqual" allowBlank="1" showInputMessage="1" showErrorMessage="1" errorTitle="Ошибка" error="Допускается ввод не более 900 символов!" sqref="G50">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DC718-095D-F37B-1EA8-07CE723EB208}" mc:Ignorable="x14ac xr xr2 xr3">
  <sheetPr>
    <tabColor rgb="FFCCCCFF"/>
  </sheetPr>
  <dimension ref="A1:AM82"/>
  <sheetViews>
    <sheetView showGridLines="0" zoomScale="90" workbookViewId="0">
      <pane xSplit="4" ySplit="12" topLeftCell="E49" activePane="bottomRight" state="frozen"/>
      <selection pane="bottomLeft" activeCell="A13" sqref="A13"/>
      <selection pane="topRight" activeCell="E1" sqref="E1"/>
      <selection pane="bottomRight" activeCell="M76" sqref="M76"/>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КГУП "Примтеплоэнерго"</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173</v>
      </c>
      <c r="E9" s="2144"/>
      <c r="F9" s="2145" t="s">
        <v>174</v>
      </c>
      <c r="G9" s="2146"/>
      <c r="H9" s="2146"/>
      <c r="I9" s="2146"/>
      <c r="J9" s="2149" t="s">
        <v>175</v>
      </c>
      <c r="K9" s="2149"/>
      <c r="L9" s="2149"/>
      <c r="M9" s="2149"/>
      <c r="AM9" s="587">
        <v>18</v>
      </c>
    </row>
    <row customHeight="1" ht="24">
      <c r="A10" s="2143"/>
      <c r="B10" s="596"/>
      <c r="C10" s="529"/>
      <c r="D10" s="527" t="s">
        <v>87</v>
      </c>
      <c r="E10" s="527" t="s">
        <v>88</v>
      </c>
      <c r="F10" s="527" t="s">
        <v>176</v>
      </c>
      <c r="G10" s="2150" t="s">
        <v>87</v>
      </c>
      <c r="H10" s="2151"/>
      <c r="I10" s="527" t="s">
        <v>88</v>
      </c>
      <c r="J10" s="527" t="s">
        <v>176</v>
      </c>
      <c r="K10" s="2150" t="s">
        <v>87</v>
      </c>
      <c r="L10" s="2151"/>
      <c r="M10" s="527" t="s">
        <v>88</v>
      </c>
      <c r="N10" s="1631"/>
      <c r="AM10" s="587">
        <v>23</v>
      </c>
    </row>
    <row s="1854" customFormat="1" customHeight="1" ht="11.25" hidden="1">
      <c r="A11" s="597"/>
      <c r="B11" s="597"/>
      <c r="C11" s="597"/>
      <c r="D11" s="598" t="s">
        <v>105</v>
      </c>
      <c r="E11" s="598" t="s">
        <v>102</v>
      </c>
      <c r="F11" s="598" t="s">
        <v>89</v>
      </c>
      <c r="G11" s="2132" t="s">
        <v>90</v>
      </c>
      <c r="H11" s="2133"/>
      <c r="I11" s="598" t="s">
        <v>120</v>
      </c>
      <c r="J11" s="598" t="s">
        <v>91</v>
      </c>
      <c r="K11" s="2134" t="s">
        <v>92</v>
      </c>
      <c r="L11" s="2135"/>
      <c r="M11" s="598" t="s">
        <v>133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177</v>
      </c>
      <c r="P12" s="1417" t="s">
        <v>178</v>
      </c>
      <c r="Q12" s="1417" t="s">
        <v>179</v>
      </c>
      <c r="R12" s="1417" t="s">
        <v>180</v>
      </c>
      <c r="AM12" s="587">
        <v>1</v>
      </c>
    </row>
    <row s="1854" customFormat="1" customHeight="1" ht="24.75">
      <c r="A13" s="297"/>
      <c r="B13" s="297"/>
      <c r="C13" s="530"/>
      <c r="D13" s="2125" t="s">
        <v>105</v>
      </c>
      <c r="E13" s="2126" t="str">
        <f>INDEX(VD_NAME_LIST,MATCH("4189671",VD_ID_LIST,0))</f>
        <v>Холодное водоснабжение. Питьевая вода</v>
      </c>
      <c r="F13" s="2129" t="s">
        <v>64</v>
      </c>
      <c r="G13" s="2130"/>
      <c r="H13" s="2131">
        <v>1</v>
      </c>
      <c r="I13" s="2122" t="str">
        <f>IF(U13="","",INDEX(TERRITORY_MR_LIST,MATCH(U13,TERRITORY_LIST_ID,0)))</f>
        <v>Территория 1</v>
      </c>
      <c r="J13" s="2124" t="s">
        <v>64</v>
      </c>
      <c r="K13" s="606"/>
      <c r="L13" s="531" t="s">
        <v>105</v>
      </c>
      <c r="M13" s="2649" t="s">
        <v>181</v>
      </c>
      <c r="N13" s="816"/>
      <c r="O13" s="1420" t="s">
        <v>182</v>
      </c>
      <c r="P13" s="1417" t="str">
        <f>$E$13</f>
        <v>Холодное водоснабжение. Питьевая вода</v>
      </c>
      <c r="Q13" s="1417" t="str">
        <f>IF($F$13="нет","без дифференциации",$I$13)</f>
        <v>Территория 1</v>
      </c>
      <c r="R13" s="1417" t="str">
        <f>IF($J$13="нет","без дифференциации",M13)</f>
        <v>Централизованная система водоснабжения Барабашского сельского поселения</v>
      </c>
      <c r="S13" s="1420"/>
      <c r="T13" s="1420"/>
      <c r="U13" s="1270" t="s">
        <v>97</v>
      </c>
      <c r="V13" s="1270" t="s">
        <v>183</v>
      </c>
      <c r="W13" s="1270"/>
      <c r="X13" s="1270"/>
      <c r="Y13" s="608" t="s">
        <v>184</v>
      </c>
      <c r="Z13" s="608">
        <v>1705000</v>
      </c>
      <c r="AA13" s="608"/>
      <c r="AB13" s="608"/>
      <c r="AC13" s="608"/>
      <c r="AD13" s="608"/>
      <c r="AE13" s="608"/>
      <c r="AF13" s="608"/>
      <c r="AG13" s="608"/>
      <c r="AH13" s="608"/>
      <c r="AI13" s="608"/>
      <c r="AJ13" s="608"/>
      <c r="AK13" s="608"/>
      <c r="AL13" s="608"/>
      <c r="AM13" s="610">
        <v>15</v>
      </c>
    </row>
    <row customHeight="1" ht="24.75">
      <c r="A14" s="427"/>
      <c r="B14" s="427"/>
      <c r="C14" s="180"/>
      <c r="D14" s="1824"/>
      <c r="E14" s="1824"/>
      <c r="F14" s="1824"/>
      <c r="G14" s="1824"/>
      <c r="H14" s="1824"/>
      <c r="I14" s="1824"/>
      <c r="J14" s="1824"/>
      <c r="K14" s="1802" t="s">
        <v>103</v>
      </c>
      <c r="L14" s="1732" t="s">
        <v>102</v>
      </c>
      <c r="M14" s="815" t="s">
        <v>185</v>
      </c>
      <c r="N14" s="816"/>
      <c r="O14" s="608" t="s">
        <v>186</v>
      </c>
      <c r="P14" s="608" t="str">
        <f>$E$13</f>
        <v>Холодное водоснабжение. Питьевая вода</v>
      </c>
      <c r="Q14" s="608" t="str">
        <f>IF($F$13="нет","без дифференциации",$I$13)</f>
        <v>Территория 1</v>
      </c>
      <c r="R14" s="608" t="str">
        <f>IF($J$14="нет","без дифференциации",$M$14)</f>
        <v>Централизованная система водоснабжения Барабашского сельского поселения.Военный городок</v>
      </c>
      <c r="S14" s="608"/>
      <c r="T14" s="608"/>
      <c r="U14" s="609"/>
      <c r="V14" s="608"/>
      <c r="W14" s="608"/>
      <c r="X14" s="599"/>
      <c r="Y14" s="599" t="s">
        <v>184</v>
      </c>
      <c r="Z14" s="599">
        <v>1705000</v>
      </c>
      <c r="AA14" s="599"/>
      <c r="AB14" s="599"/>
      <c r="AC14" s="599"/>
      <c r="AD14" s="599"/>
      <c r="AE14" s="599"/>
      <c r="AF14" s="599"/>
      <c r="AG14" s="599"/>
      <c r="AH14" s="599"/>
      <c r="AI14" s="599"/>
      <c r="AJ14" s="599"/>
      <c r="AK14" s="599"/>
      <c r="AL14" s="599"/>
      <c r="AM14" s="1854"/>
    </row>
    <row customHeight="1" ht="24.75">
      <c r="A15" s="427"/>
      <c r="B15" s="427"/>
      <c r="C15" s="180"/>
      <c r="D15" s="1824"/>
      <c r="E15" s="1824"/>
      <c r="F15" s="1824"/>
      <c r="G15" s="1824"/>
      <c r="H15" s="1824"/>
      <c r="I15" s="1824"/>
      <c r="J15" s="1824"/>
      <c r="K15" s="1802" t="s">
        <v>103</v>
      </c>
      <c r="L15" s="1732" t="s">
        <v>89</v>
      </c>
      <c r="M15" s="815" t="s">
        <v>187</v>
      </c>
      <c r="N15" s="816"/>
      <c r="O15" s="608" t="s">
        <v>188</v>
      </c>
      <c r="P15" s="608" t="str">
        <f>$E$13</f>
        <v>Холодное водоснабжение. Питьевая вода</v>
      </c>
      <c r="Q15" s="608" t="str">
        <f>IF($F$13="нет","без дифференциации",$I$13)</f>
        <v>Территория 1</v>
      </c>
      <c r="R15" s="608" t="str">
        <f>IF($J$15="нет","без дифференциации",$M$15)</f>
        <v>Централизованная система водоснабжения Безверховского сельского поселения</v>
      </c>
      <c r="S15" s="608"/>
      <c r="T15" s="608"/>
      <c r="U15" s="609"/>
      <c r="V15" s="608"/>
      <c r="W15" s="608"/>
      <c r="X15" s="599"/>
      <c r="Y15" s="599" t="s">
        <v>184</v>
      </c>
      <c r="Z15" s="599">
        <v>1705000</v>
      </c>
      <c r="AA15" s="599"/>
      <c r="AB15" s="599"/>
      <c r="AC15" s="599"/>
      <c r="AD15" s="599"/>
      <c r="AE15" s="599"/>
      <c r="AF15" s="599"/>
      <c r="AG15" s="599"/>
      <c r="AH15" s="599"/>
      <c r="AI15" s="599"/>
      <c r="AJ15" s="599"/>
      <c r="AK15" s="599"/>
      <c r="AL15" s="599"/>
      <c r="AM15" s="1854"/>
    </row>
    <row customHeight="1" ht="34.5">
      <c r="A16" s="427"/>
      <c r="B16" s="427"/>
      <c r="C16" s="180"/>
      <c r="D16" s="1824"/>
      <c r="E16" s="1824"/>
      <c r="F16" s="1824"/>
      <c r="G16" s="1824"/>
      <c r="H16" s="1824"/>
      <c r="I16" s="1824"/>
      <c r="J16" s="1824"/>
      <c r="K16" s="1802" t="s">
        <v>103</v>
      </c>
      <c r="L16" s="1732" t="s">
        <v>90</v>
      </c>
      <c r="M16" s="815" t="s">
        <v>189</v>
      </c>
      <c r="N16" s="816"/>
      <c r="O16" s="608" t="s">
        <v>190</v>
      </c>
      <c r="P16" s="608" t="str">
        <f>$E$13</f>
        <v>Холодное водоснабжение. Питьевая вода</v>
      </c>
      <c r="Q16" s="608" t="str">
        <f>IF($F$13="нет","без дифференциации",$I$13)</f>
        <v>Территория 1</v>
      </c>
      <c r="R16" s="608" t="str">
        <f>IF($J$16="нет","без дифференциации",$M$16)</f>
        <v>Централизованная система водоснабжения Краскинского городского поселения</v>
      </c>
      <c r="S16" s="608"/>
      <c r="T16" s="608"/>
      <c r="U16" s="609"/>
      <c r="V16" s="608"/>
      <c r="W16" s="608"/>
      <c r="X16" s="599"/>
      <c r="Y16" s="599" t="s">
        <v>184</v>
      </c>
      <c r="Z16" s="599">
        <v>1705000</v>
      </c>
      <c r="AA16" s="599"/>
      <c r="AB16" s="599"/>
      <c r="AC16" s="599"/>
      <c r="AD16" s="599"/>
      <c r="AE16" s="599"/>
      <c r="AF16" s="599"/>
      <c r="AG16" s="599"/>
      <c r="AH16" s="599"/>
      <c r="AI16" s="599"/>
      <c r="AJ16" s="599"/>
      <c r="AK16" s="599"/>
      <c r="AL16" s="599"/>
      <c r="AM16" s="1854"/>
    </row>
    <row customHeight="1" ht="31.5">
      <c r="A17" s="427"/>
      <c r="B17" s="427"/>
      <c r="C17" s="180"/>
      <c r="D17" s="1824"/>
      <c r="E17" s="1824"/>
      <c r="F17" s="1824"/>
      <c r="G17" s="1824"/>
      <c r="H17" s="1824"/>
      <c r="I17" s="1824"/>
      <c r="J17" s="1824"/>
      <c r="K17" s="1802" t="s">
        <v>103</v>
      </c>
      <c r="L17" s="1732" t="s">
        <v>120</v>
      </c>
      <c r="M17" s="815" t="s">
        <v>191</v>
      </c>
      <c r="N17" s="816"/>
      <c r="O17" s="608" t="s">
        <v>192</v>
      </c>
      <c r="P17" s="608" t="str">
        <f>$E$13</f>
        <v>Холодное водоснабжение. Питьевая вода</v>
      </c>
      <c r="Q17" s="608" t="str">
        <f>IF($F$13="нет","без дифференциации",$I$13)</f>
        <v>Территория 1</v>
      </c>
      <c r="R17" s="608" t="str">
        <f>IF($J$17="нет","без дифференциации",$M$17)</f>
        <v>Централизованная система водоснабжения Посьетского городского поселения</v>
      </c>
      <c r="S17" s="608"/>
      <c r="T17" s="608"/>
      <c r="U17" s="609"/>
      <c r="V17" s="608"/>
      <c r="W17" s="608"/>
      <c r="X17" s="599"/>
      <c r="Y17" s="599" t="s">
        <v>184</v>
      </c>
      <c r="Z17" s="599">
        <v>1705000</v>
      </c>
      <c r="AA17" s="599"/>
      <c r="AB17" s="599"/>
      <c r="AC17" s="599"/>
      <c r="AD17" s="599"/>
      <c r="AE17" s="599"/>
      <c r="AF17" s="599"/>
      <c r="AG17" s="599"/>
      <c r="AH17" s="599"/>
      <c r="AI17" s="599"/>
      <c r="AJ17" s="599"/>
      <c r="AK17" s="599"/>
      <c r="AL17" s="599"/>
      <c r="AM17" s="1854"/>
    </row>
    <row customHeight="1" ht="27.75">
      <c r="A18" s="427"/>
      <c r="B18" s="427"/>
      <c r="C18" s="180"/>
      <c r="D18" s="1824"/>
      <c r="E18" s="1824"/>
      <c r="F18" s="1824"/>
      <c r="G18" s="1824"/>
      <c r="H18" s="1824"/>
      <c r="I18" s="1824"/>
      <c r="J18" s="1824"/>
      <c r="K18" s="1802" t="s">
        <v>103</v>
      </c>
      <c r="L18" s="1732" t="s">
        <v>91</v>
      </c>
      <c r="M18" s="815" t="s">
        <v>193</v>
      </c>
      <c r="N18" s="816"/>
      <c r="O18" s="608" t="s">
        <v>194</v>
      </c>
      <c r="P18" s="608" t="str">
        <f>$E$13</f>
        <v>Холодное водоснабжение. Питьевая вода</v>
      </c>
      <c r="Q18" s="608" t="str">
        <f>IF($F$13="нет","без дифференциации",$I$13)</f>
        <v>Территория 1</v>
      </c>
      <c r="R18" s="608" t="str">
        <f>IF($J$18="нет","без дифференциации",$M$18)</f>
        <v>Централизованная система водоснабжения Приморского городского поселения</v>
      </c>
      <c r="S18" s="608"/>
      <c r="T18" s="608"/>
      <c r="U18" s="609"/>
      <c r="V18" s="608"/>
      <c r="W18" s="608"/>
      <c r="X18" s="599"/>
      <c r="Y18" s="599" t="s">
        <v>184</v>
      </c>
      <c r="Z18" s="599">
        <v>1705000</v>
      </c>
      <c r="AA18" s="599"/>
      <c r="AB18" s="599"/>
      <c r="AC18" s="599"/>
      <c r="AD18" s="599"/>
      <c r="AE18" s="599"/>
      <c r="AF18" s="599"/>
      <c r="AG18" s="599"/>
      <c r="AH18" s="599"/>
      <c r="AI18" s="599"/>
      <c r="AJ18" s="599"/>
      <c r="AK18" s="599"/>
      <c r="AL18" s="599"/>
      <c r="AM18" s="1854"/>
    </row>
    <row customHeight="1" ht="21">
      <c r="A19" s="427"/>
      <c r="B19" s="427"/>
      <c r="C19" s="180"/>
      <c r="D19" s="1824"/>
      <c r="E19" s="1824"/>
      <c r="F19" s="1824"/>
      <c r="G19" s="1824"/>
      <c r="H19" s="1824"/>
      <c r="I19" s="1824"/>
      <c r="J19" s="1824"/>
      <c r="K19" s="1802" t="s">
        <v>103</v>
      </c>
      <c r="L19" s="1732" t="s">
        <v>92</v>
      </c>
      <c r="M19" s="815" t="s">
        <v>195</v>
      </c>
      <c r="N19" s="816"/>
      <c r="O19" s="608" t="s">
        <v>196</v>
      </c>
      <c r="P19" s="608" t="str">
        <f>$E$13</f>
        <v>Холодное водоснабжение. Питьевая вода</v>
      </c>
      <c r="Q19" s="608" t="str">
        <f>IF($F$13="нет","без дифференциации",$I$13)</f>
        <v>Территория 1</v>
      </c>
      <c r="R19" s="608" t="str">
        <f>IF($J$19="нет","без дифференциации",$M$19)</f>
        <v>Централизованная система водоснабжения пгт.Зарубино Хасанского муниципального округа</v>
      </c>
      <c r="S19" s="608"/>
      <c r="T19" s="608"/>
      <c r="U19" s="609"/>
      <c r="V19" s="608"/>
      <c r="W19" s="608"/>
      <c r="X19" s="599"/>
      <c r="Y19" s="599" t="s">
        <v>184</v>
      </c>
      <c r="Z19" s="599">
        <v>1705000</v>
      </c>
      <c r="AA19" s="599"/>
      <c r="AB19" s="599"/>
      <c r="AC19" s="599"/>
      <c r="AD19" s="599"/>
      <c r="AE19" s="599"/>
      <c r="AF19" s="599"/>
      <c r="AG19" s="599"/>
      <c r="AH19" s="599"/>
      <c r="AI19" s="599"/>
      <c r="AJ19" s="599"/>
      <c r="AK19" s="599"/>
      <c r="AL19" s="599"/>
      <c r="AM19" s="1854"/>
    </row>
    <row customHeight="1" ht="27">
      <c r="A20" s="427"/>
      <c r="B20" s="427"/>
      <c r="C20" s="180"/>
      <c r="D20" s="1824"/>
      <c r="E20" s="1824"/>
      <c r="F20" s="1824"/>
      <c r="G20" s="1824"/>
      <c r="H20" s="1824"/>
      <c r="I20" s="1824"/>
      <c r="J20" s="1824"/>
      <c r="K20" s="1802" t="s">
        <v>103</v>
      </c>
      <c r="L20" s="1732" t="s">
        <v>133</v>
      </c>
      <c r="M20" s="815" t="s">
        <v>197</v>
      </c>
      <c r="N20" s="816"/>
      <c r="O20" s="608" t="s">
        <v>198</v>
      </c>
      <c r="P20" s="608" t="str">
        <f>$E$13</f>
        <v>Холодное водоснабжение. Питьевая вода</v>
      </c>
      <c r="Q20" s="608" t="str">
        <f>IF($F$13="нет","без дифференциации",$I$13)</f>
        <v>Территория 1</v>
      </c>
      <c r="R20" s="608" t="str">
        <f>IF($J$20="нет","без дифференциации",$M$20)</f>
        <v>Централизованная система водоснабжения пгт. Хасан Хасанского муниципального округа</v>
      </c>
      <c r="S20" s="608"/>
      <c r="T20" s="608"/>
      <c r="U20" s="609"/>
      <c r="V20" s="608"/>
      <c r="W20" s="608"/>
      <c r="X20" s="599"/>
      <c r="Y20" s="599" t="s">
        <v>184</v>
      </c>
      <c r="Z20" s="599">
        <v>1705000</v>
      </c>
      <c r="AA20" s="599"/>
      <c r="AB20" s="599"/>
      <c r="AC20" s="599"/>
      <c r="AD20" s="599"/>
      <c r="AE20" s="599"/>
      <c r="AF20" s="599"/>
      <c r="AG20" s="599"/>
      <c r="AH20" s="599"/>
      <c r="AI20" s="599"/>
      <c r="AJ20" s="599"/>
      <c r="AK20" s="599"/>
      <c r="AL20" s="599"/>
      <c r="AM20" s="1854"/>
    </row>
    <row s="1854" customFormat="1" customHeight="1" ht="15.75">
      <c r="A21" s="297"/>
      <c r="B21" s="297"/>
      <c r="C21" s="180"/>
      <c r="D21" s="2125"/>
      <c r="E21" s="2127"/>
      <c r="F21" s="2124"/>
      <c r="G21" s="2130"/>
      <c r="H21" s="2131"/>
      <c r="I21" s="2123"/>
      <c r="J21" s="2124"/>
      <c r="K21" s="425"/>
      <c r="L21" s="181"/>
      <c r="M21" s="611" t="s">
        <v>199</v>
      </c>
      <c r="N21" s="816"/>
      <c r="O21" s="1420"/>
      <c r="P21" s="1417"/>
      <c r="Q21" s="1417"/>
      <c r="R21" s="1417"/>
      <c r="S21" s="1420"/>
      <c r="T21" s="1420"/>
      <c r="U21" s="1270"/>
      <c r="V21" s="1270"/>
      <c r="W21" s="1270"/>
      <c r="X21" s="1270"/>
      <c r="Y21" s="608"/>
      <c r="Z21" s="608"/>
      <c r="AA21" s="608"/>
      <c r="AB21" s="608"/>
      <c r="AC21" s="608"/>
      <c r="AD21" s="608"/>
      <c r="AE21" s="608"/>
      <c r="AF21" s="608"/>
      <c r="AG21" s="608"/>
      <c r="AH21" s="608"/>
      <c r="AI21" s="608"/>
      <c r="AJ21" s="608"/>
      <c r="AK21" s="608"/>
      <c r="AL21" s="608"/>
      <c r="AM21" s="610">
        <v>15</v>
      </c>
    </row>
    <row customHeight="1" ht="15">
      <c r="A22" s="427"/>
      <c r="B22" s="427"/>
      <c r="C22" s="180"/>
      <c r="D22" s="1824"/>
      <c r="E22" s="1824"/>
      <c r="F22" s="1824"/>
      <c r="G22" s="2578" t="s">
        <v>103</v>
      </c>
      <c r="H22" s="2120" t="s">
        <v>102</v>
      </c>
      <c r="I22" s="2579" t="str">
        <f>IF(U22="","",INDEX(TERRITORY_MR_LIST,MATCH(U22,TERRITORY_LIST_ID,0)))</f>
        <v>Территория 2</v>
      </c>
      <c r="J22" s="2124" t="s">
        <v>64</v>
      </c>
      <c r="K22" s="836"/>
      <c r="L22" s="1785" t="s">
        <v>105</v>
      </c>
      <c r="M22" s="2649" t="s">
        <v>200</v>
      </c>
      <c r="N22" s="608"/>
      <c r="O22" s="608" t="s">
        <v>201</v>
      </c>
      <c r="P22" s="608" t="str">
        <f>$E$13</f>
        <v>Холодное водоснабжение. Питьевая вода</v>
      </c>
      <c r="Q22" s="608" t="str">
        <f>IF($F$22="нет","без дифференциации",$I$22)</f>
        <v>Территория 2</v>
      </c>
      <c r="R22" s="608" t="str">
        <f>IF($J$22="нет","без дифференциации",$M$22)</f>
        <v>Централизованная система водоснабжения Анучинского сельского поселения</v>
      </c>
      <c r="S22" s="608"/>
      <c r="T22" s="608"/>
      <c r="U22" s="609" t="s">
        <v>104</v>
      </c>
      <c r="V22" s="608"/>
      <c r="W22" s="608"/>
      <c r="X22" s="599"/>
      <c r="Y22" s="599" t="s">
        <v>184</v>
      </c>
      <c r="Z22" s="599">
        <v>1705000</v>
      </c>
      <c r="AA22" s="599"/>
      <c r="AB22" s="599"/>
      <c r="AC22" s="599"/>
      <c r="AD22" s="599"/>
      <c r="AE22" s="599"/>
      <c r="AF22" s="599"/>
      <c r="AG22" s="599"/>
      <c r="AH22" s="599"/>
      <c r="AI22" s="599"/>
      <c r="AJ22" s="599"/>
      <c r="AK22" s="599"/>
      <c r="AL22" s="599"/>
      <c r="AM22" s="1854"/>
    </row>
    <row customHeight="1" ht="15">
      <c r="A23" s="427"/>
      <c r="B23" s="427"/>
      <c r="C23" s="180"/>
      <c r="D23" s="1824"/>
      <c r="E23" s="1824"/>
      <c r="F23" s="1824"/>
      <c r="G23" s="2578"/>
      <c r="H23" s="2120"/>
      <c r="I23" s="2579"/>
      <c r="J23" s="2124"/>
      <c r="K23" s="425"/>
      <c r="L23" s="181"/>
      <c r="M23" s="611" t="s">
        <v>199</v>
      </c>
      <c r="N23" s="608"/>
      <c r="O23" s="608"/>
      <c r="P23" s="608"/>
      <c r="Q23" s="608"/>
      <c r="R23" s="608"/>
      <c r="S23" s="608"/>
      <c r="T23" s="608"/>
      <c r="U23" s="609"/>
      <c r="V23" s="608"/>
      <c r="W23" s="608"/>
      <c r="X23" s="599"/>
      <c r="Y23" s="599"/>
      <c r="Z23" s="599"/>
      <c r="AA23" s="599"/>
      <c r="AB23" s="599"/>
      <c r="AC23" s="599"/>
      <c r="AD23" s="599"/>
      <c r="AE23" s="599"/>
      <c r="AF23" s="599"/>
      <c r="AG23" s="599"/>
      <c r="AH23" s="599"/>
      <c r="AI23" s="599"/>
      <c r="AJ23" s="599"/>
      <c r="AK23" s="599"/>
      <c r="AL23" s="599"/>
      <c r="AM23" s="1854"/>
    </row>
    <row customHeight="1" ht="15">
      <c r="A24" s="427"/>
      <c r="B24" s="427"/>
      <c r="C24" s="180"/>
      <c r="D24" s="1824"/>
      <c r="E24" s="1824"/>
      <c r="F24" s="1824"/>
      <c r="G24" s="2578" t="s">
        <v>103</v>
      </c>
      <c r="H24" s="2120" t="s">
        <v>89</v>
      </c>
      <c r="I24" s="2579" t="str">
        <f>IF(U24="","",INDEX(TERRITORY_MR_LIST,MATCH(U24,TERRITORY_LIST_ID,0)))</f>
        <v>Территория 3</v>
      </c>
      <c r="J24" s="2124" t="s">
        <v>64</v>
      </c>
      <c r="K24" s="836"/>
      <c r="L24" s="1785" t="s">
        <v>105</v>
      </c>
      <c r="M24" s="2649" t="s">
        <v>202</v>
      </c>
      <c r="N24" s="608"/>
      <c r="O24" s="608" t="s">
        <v>203</v>
      </c>
      <c r="P24" s="608" t="str">
        <f>$E$13</f>
        <v>Холодное водоснабжение. Питьевая вода</v>
      </c>
      <c r="Q24" s="608" t="str">
        <f>IF($F$24="нет","без дифференциации",$I$24)</f>
        <v>Территория 3</v>
      </c>
      <c r="R24" s="608" t="str">
        <f>IF($J$24="нет","без дифференциации",$M$24)</f>
        <v>Централизованная система водоснабжения Романовского сельского поселения</v>
      </c>
      <c r="S24" s="608"/>
      <c r="T24" s="608"/>
      <c r="U24" s="609" t="s">
        <v>108</v>
      </c>
      <c r="V24" s="608"/>
      <c r="W24" s="608"/>
      <c r="X24" s="599"/>
      <c r="Y24" s="599" t="s">
        <v>184</v>
      </c>
      <c r="Z24" s="599">
        <v>1705000</v>
      </c>
      <c r="AA24" s="599"/>
      <c r="AB24" s="599"/>
      <c r="AC24" s="599"/>
      <c r="AD24" s="599"/>
      <c r="AE24" s="599"/>
      <c r="AF24" s="599"/>
      <c r="AG24" s="599"/>
      <c r="AH24" s="599"/>
      <c r="AI24" s="599"/>
      <c r="AJ24" s="599"/>
      <c r="AK24" s="599"/>
      <c r="AL24" s="599"/>
      <c r="AM24" s="1854"/>
    </row>
    <row customHeight="1" ht="15">
      <c r="A25" s="427"/>
      <c r="B25" s="427"/>
      <c r="C25" s="180"/>
      <c r="D25" s="1824"/>
      <c r="E25" s="1824"/>
      <c r="F25" s="1824"/>
      <c r="G25" s="1824"/>
      <c r="H25" s="1824"/>
      <c r="I25" s="1824"/>
      <c r="J25" s="1824"/>
      <c r="K25" s="1802" t="s">
        <v>103</v>
      </c>
      <c r="L25" s="1732" t="s">
        <v>102</v>
      </c>
      <c r="M25" s="815" t="s">
        <v>204</v>
      </c>
      <c r="N25" s="816"/>
      <c r="O25" s="608" t="s">
        <v>205</v>
      </c>
      <c r="P25" s="608" t="str">
        <f>$E$13</f>
        <v>Холодное водоснабжение. Питьевая вода</v>
      </c>
      <c r="Q25" s="608" t="str">
        <f>IF($F$24="нет","без дифференциации",$I$24)</f>
        <v>Территория 3</v>
      </c>
      <c r="R25" s="608" t="str">
        <f>IF($J$25="нет","без дифференциации",$M$25)</f>
        <v>Централизованная система водоснабжения Штыковского сельского поселения</v>
      </c>
      <c r="S25" s="608"/>
      <c r="T25" s="608"/>
      <c r="U25" s="609"/>
      <c r="V25" s="608"/>
      <c r="W25" s="608"/>
      <c r="X25" s="599"/>
      <c r="Y25" s="599" t="s">
        <v>184</v>
      </c>
      <c r="Z25" s="599">
        <v>1705000</v>
      </c>
      <c r="AA25" s="599"/>
      <c r="AB25" s="599"/>
      <c r="AC25" s="599"/>
      <c r="AD25" s="599"/>
      <c r="AE25" s="599"/>
      <c r="AF25" s="599"/>
      <c r="AG25" s="599"/>
      <c r="AH25" s="599"/>
      <c r="AI25" s="599"/>
      <c r="AJ25" s="599"/>
      <c r="AK25" s="599"/>
      <c r="AL25" s="599"/>
      <c r="AM25" s="1854"/>
    </row>
    <row customHeight="1" ht="15">
      <c r="A26" s="427"/>
      <c r="B26" s="427"/>
      <c r="C26" s="180"/>
      <c r="D26" s="1824"/>
      <c r="E26" s="1824"/>
      <c r="F26" s="1824"/>
      <c r="G26" s="2578"/>
      <c r="H26" s="2120"/>
      <c r="I26" s="2579"/>
      <c r="J26" s="2124"/>
      <c r="K26" s="425"/>
      <c r="L26" s="181"/>
      <c r="M26" s="611" t="s">
        <v>199</v>
      </c>
      <c r="N26" s="608"/>
      <c r="O26" s="608"/>
      <c r="P26" s="608"/>
      <c r="Q26" s="608"/>
      <c r="R26" s="608"/>
      <c r="S26" s="608"/>
      <c r="T26" s="608"/>
      <c r="U26" s="609"/>
      <c r="V26" s="608"/>
      <c r="W26" s="608"/>
      <c r="X26" s="599"/>
      <c r="Y26" s="599"/>
      <c r="Z26" s="599"/>
      <c r="AA26" s="599"/>
      <c r="AB26" s="599"/>
      <c r="AC26" s="599"/>
      <c r="AD26" s="599"/>
      <c r="AE26" s="599"/>
      <c r="AF26" s="599"/>
      <c r="AG26" s="599"/>
      <c r="AH26" s="599"/>
      <c r="AI26" s="599"/>
      <c r="AJ26" s="599"/>
      <c r="AK26" s="599"/>
      <c r="AL26" s="599"/>
      <c r="AM26" s="1854"/>
    </row>
    <row customHeight="1" ht="15">
      <c r="A27" s="427"/>
      <c r="B27" s="427"/>
      <c r="C27" s="180"/>
      <c r="D27" s="1824"/>
      <c r="E27" s="1824"/>
      <c r="F27" s="1824"/>
      <c r="G27" s="2578" t="s">
        <v>103</v>
      </c>
      <c r="H27" s="2120" t="s">
        <v>90</v>
      </c>
      <c r="I27" s="2579" t="str">
        <f>IF(U27="","",INDEX(TERRITORY_MR_LIST,MATCH(U27,TERRITORY_LIST_ID,0)))</f>
        <v>Территория 4</v>
      </c>
      <c r="J27" s="2124" t="s">
        <v>64</v>
      </c>
      <c r="K27" s="836"/>
      <c r="L27" s="1785" t="s">
        <v>105</v>
      </c>
      <c r="M27" s="2649" t="s">
        <v>206</v>
      </c>
      <c r="N27" s="608"/>
      <c r="O27" s="608" t="s">
        <v>207</v>
      </c>
      <c r="P27" s="608" t="str">
        <f>$E$13</f>
        <v>Холодное водоснабжение. Питьевая вода</v>
      </c>
      <c r="Q27" s="608" t="str">
        <f>IF($F$27="нет","без дифференциации",$I$27)</f>
        <v>Территория 4</v>
      </c>
      <c r="R27" s="608" t="str">
        <f>IF($J$27="нет","без дифференциации",$M$27)</f>
        <v>Централизованная система водоснабжения городского округа ЗАТО город Фокино</v>
      </c>
      <c r="S27" s="608"/>
      <c r="T27" s="608"/>
      <c r="U27" s="609" t="s">
        <v>116</v>
      </c>
      <c r="V27" s="608"/>
      <c r="W27" s="608"/>
      <c r="X27" s="599"/>
      <c r="Y27" s="599" t="s">
        <v>184</v>
      </c>
      <c r="Z27" s="599">
        <v>1705000</v>
      </c>
      <c r="AA27" s="599"/>
      <c r="AB27" s="599"/>
      <c r="AC27" s="599"/>
      <c r="AD27" s="599"/>
      <c r="AE27" s="599"/>
      <c r="AF27" s="599"/>
      <c r="AG27" s="599"/>
      <c r="AH27" s="599"/>
      <c r="AI27" s="599"/>
      <c r="AJ27" s="599"/>
      <c r="AK27" s="599"/>
      <c r="AL27" s="599"/>
      <c r="AM27" s="1854"/>
    </row>
    <row customHeight="1" ht="15">
      <c r="A28" s="427"/>
      <c r="B28" s="427"/>
      <c r="C28" s="180"/>
      <c r="D28" s="1824"/>
      <c r="E28" s="1824"/>
      <c r="F28" s="1824"/>
      <c r="G28" s="1824"/>
      <c r="H28" s="1824"/>
      <c r="I28" s="1824"/>
      <c r="J28" s="1824"/>
      <c r="K28" s="1802" t="s">
        <v>103</v>
      </c>
      <c r="L28" s="1732" t="s">
        <v>102</v>
      </c>
      <c r="M28" s="815" t="s">
        <v>208</v>
      </c>
      <c r="N28" s="816"/>
      <c r="O28" s="608" t="s">
        <v>209</v>
      </c>
      <c r="P28" s="608" t="str">
        <f>$E$13</f>
        <v>Холодное водоснабжение. Питьевая вода</v>
      </c>
      <c r="Q28" s="608" t="str">
        <f>IF($F$27="нет","без дифференциации",$I$27)</f>
        <v>Территория 4</v>
      </c>
      <c r="R28" s="608" t="str">
        <f>IF($J$28="нет","без дифференциации",$M$28)</f>
        <v>Централизованная система водоснабжения городского округа ЗАТО город Фокино (п.Путятин)</v>
      </c>
      <c r="S28" s="608"/>
      <c r="T28" s="608"/>
      <c r="U28" s="609"/>
      <c r="V28" s="608"/>
      <c r="W28" s="608"/>
      <c r="X28" s="599"/>
      <c r="Y28" s="599" t="s">
        <v>184</v>
      </c>
      <c r="Z28" s="599">
        <v>1705000</v>
      </c>
      <c r="AA28" s="599"/>
      <c r="AB28" s="599"/>
      <c r="AC28" s="599"/>
      <c r="AD28" s="599"/>
      <c r="AE28" s="599"/>
      <c r="AF28" s="599"/>
      <c r="AG28" s="599"/>
      <c r="AH28" s="599"/>
      <c r="AI28" s="599"/>
      <c r="AJ28" s="599"/>
      <c r="AK28" s="599"/>
      <c r="AL28" s="599"/>
      <c r="AM28" s="1854"/>
    </row>
    <row customHeight="1" ht="15">
      <c r="A29" s="427"/>
      <c r="B29" s="427"/>
      <c r="C29" s="180"/>
      <c r="D29" s="1824"/>
      <c r="E29" s="1824"/>
      <c r="F29" s="1824"/>
      <c r="G29" s="2578"/>
      <c r="H29" s="2120"/>
      <c r="I29" s="2579"/>
      <c r="J29" s="2124"/>
      <c r="K29" s="425"/>
      <c r="L29" s="181"/>
      <c r="M29" s="611" t="s">
        <v>199</v>
      </c>
      <c r="N29" s="608"/>
      <c r="O29" s="608"/>
      <c r="P29" s="608"/>
      <c r="Q29" s="608"/>
      <c r="R29" s="608"/>
      <c r="S29" s="608"/>
      <c r="T29" s="608"/>
      <c r="U29" s="609"/>
      <c r="V29" s="608"/>
      <c r="W29" s="608"/>
      <c r="X29" s="599"/>
      <c r="Y29" s="599"/>
      <c r="Z29" s="599"/>
      <c r="AA29" s="599"/>
      <c r="AB29" s="599"/>
      <c r="AC29" s="599"/>
      <c r="AD29" s="599"/>
      <c r="AE29" s="599"/>
      <c r="AF29" s="599"/>
      <c r="AG29" s="599"/>
      <c r="AH29" s="599"/>
      <c r="AI29" s="599"/>
      <c r="AJ29" s="599"/>
      <c r="AK29" s="599"/>
      <c r="AL29" s="599"/>
      <c r="AM29" s="1854"/>
    </row>
    <row customHeight="1" ht="15">
      <c r="A30" s="427"/>
      <c r="B30" s="427"/>
      <c r="C30" s="180"/>
      <c r="D30" s="1824"/>
      <c r="E30" s="1824"/>
      <c r="F30" s="1824"/>
      <c r="G30" s="2578" t="s">
        <v>103</v>
      </c>
      <c r="H30" s="2120" t="s">
        <v>120</v>
      </c>
      <c r="I30" s="2579" t="str">
        <f>IF(U30="","",INDEX(TERRITORY_MR_LIST,MATCH(U30,TERRITORY_LIST_ID,0)))</f>
        <v>Территория 5</v>
      </c>
      <c r="J30" s="2124" t="s">
        <v>64</v>
      </c>
      <c r="K30" s="836"/>
      <c r="L30" s="1785" t="s">
        <v>105</v>
      </c>
      <c r="M30" s="2649" t="s">
        <v>210</v>
      </c>
      <c r="N30" s="608"/>
      <c r="O30" s="608" t="s">
        <v>211</v>
      </c>
      <c r="P30" s="608" t="str">
        <f>$E$13</f>
        <v>Холодное водоснабжение. Питьевая вода</v>
      </c>
      <c r="Q30" s="608" t="str">
        <f>IF($F$30="нет","без дифференциации",$I$30)</f>
        <v>Территория 5</v>
      </c>
      <c r="R30" s="608" t="str">
        <f>IF($J$30="нет","без дифференциации",$M$30)</f>
        <v>Централизованная система водоснабжения Новошахтинского городского поселения</v>
      </c>
      <c r="S30" s="608"/>
      <c r="T30" s="608"/>
      <c r="U30" s="609" t="s">
        <v>121</v>
      </c>
      <c r="V30" s="608"/>
      <c r="W30" s="608"/>
      <c r="X30" s="599"/>
      <c r="Y30" s="599" t="s">
        <v>184</v>
      </c>
      <c r="Z30" s="599">
        <v>1705000</v>
      </c>
      <c r="AA30" s="599"/>
      <c r="AB30" s="599"/>
      <c r="AC30" s="599"/>
      <c r="AD30" s="599"/>
      <c r="AE30" s="599"/>
      <c r="AF30" s="599"/>
      <c r="AG30" s="599"/>
      <c r="AH30" s="599"/>
      <c r="AI30" s="599"/>
      <c r="AJ30" s="599"/>
      <c r="AK30" s="599"/>
      <c r="AL30" s="599"/>
      <c r="AM30" s="1854"/>
    </row>
    <row customHeight="1" ht="15">
      <c r="A31" s="427"/>
      <c r="B31" s="427"/>
      <c r="C31" s="180"/>
      <c r="D31" s="1824"/>
      <c r="E31" s="1824"/>
      <c r="F31" s="1824"/>
      <c r="G31" s="2578"/>
      <c r="H31" s="2120"/>
      <c r="I31" s="2579"/>
      <c r="J31" s="2124"/>
      <c r="K31" s="425"/>
      <c r="L31" s="181"/>
      <c r="M31" s="611" t="s">
        <v>199</v>
      </c>
      <c r="N31" s="608"/>
      <c r="O31" s="608"/>
      <c r="P31" s="608"/>
      <c r="Q31" s="608"/>
      <c r="R31" s="608"/>
      <c r="S31" s="608"/>
      <c r="T31" s="608"/>
      <c r="U31" s="609"/>
      <c r="V31" s="608"/>
      <c r="W31" s="608"/>
      <c r="X31" s="599"/>
      <c r="Y31" s="599"/>
      <c r="Z31" s="599"/>
      <c r="AA31" s="599"/>
      <c r="AB31" s="599"/>
      <c r="AC31" s="599"/>
      <c r="AD31" s="599"/>
      <c r="AE31" s="599"/>
      <c r="AF31" s="599"/>
      <c r="AG31" s="599"/>
      <c r="AH31" s="599"/>
      <c r="AI31" s="599"/>
      <c r="AJ31" s="599"/>
      <c r="AK31" s="599"/>
      <c r="AL31" s="599"/>
      <c r="AM31" s="1854"/>
    </row>
    <row customHeight="1" ht="15">
      <c r="A32" s="427"/>
      <c r="B32" s="427"/>
      <c r="C32" s="180"/>
      <c r="D32" s="1824"/>
      <c r="E32" s="1824"/>
      <c r="F32" s="1824"/>
      <c r="G32" s="2578" t="s">
        <v>103</v>
      </c>
      <c r="H32" s="2120" t="s">
        <v>91</v>
      </c>
      <c r="I32" s="2579" t="str">
        <f>IF(U32="","",INDEX(TERRITORY_MR_LIST,MATCH(U32,TERRITORY_LIST_ID,0)))</f>
        <v>Территория 6</v>
      </c>
      <c r="J32" s="2124" t="s">
        <v>64</v>
      </c>
      <c r="K32" s="836"/>
      <c r="L32" s="1785" t="s">
        <v>105</v>
      </c>
      <c r="M32" s="2649" t="s">
        <v>212</v>
      </c>
      <c r="N32" s="608"/>
      <c r="O32" s="608" t="s">
        <v>213</v>
      </c>
      <c r="P32" s="608" t="str">
        <f>$E$13</f>
        <v>Холодное водоснабжение. Питьевая вода</v>
      </c>
      <c r="Q32" s="608" t="str">
        <f>IF($F$32="нет","без дифференциации",$I$32)</f>
        <v>Территория 6</v>
      </c>
      <c r="R32" s="608" t="str">
        <f>IF($J$32="нет","без дифференциации",$M$32)</f>
        <v>Централизованная система водоснабжения Дальнегорского городского округа</v>
      </c>
      <c r="S32" s="608"/>
      <c r="T32" s="608"/>
      <c r="U32" s="609" t="s">
        <v>126</v>
      </c>
      <c r="V32" s="608"/>
      <c r="W32" s="608"/>
      <c r="X32" s="599"/>
      <c r="Y32" s="599" t="s">
        <v>184</v>
      </c>
      <c r="Z32" s="599">
        <v>1705000</v>
      </c>
      <c r="AA32" s="599"/>
      <c r="AB32" s="599"/>
      <c r="AC32" s="599"/>
      <c r="AD32" s="599"/>
      <c r="AE32" s="599"/>
      <c r="AF32" s="599"/>
      <c r="AG32" s="599"/>
      <c r="AH32" s="599"/>
      <c r="AI32" s="599"/>
      <c r="AJ32" s="599"/>
      <c r="AK32" s="599"/>
      <c r="AL32" s="599"/>
      <c r="AM32" s="1854"/>
    </row>
    <row customHeight="1" ht="15">
      <c r="A33" s="427"/>
      <c r="B33" s="427"/>
      <c r="C33" s="180"/>
      <c r="D33" s="1824"/>
      <c r="E33" s="1824"/>
      <c r="F33" s="1824"/>
      <c r="G33" s="2578"/>
      <c r="H33" s="2120"/>
      <c r="I33" s="2579"/>
      <c r="J33" s="2124"/>
      <c r="K33" s="425"/>
      <c r="L33" s="181"/>
      <c r="M33" s="611" t="s">
        <v>199</v>
      </c>
      <c r="N33" s="608"/>
      <c r="O33" s="608"/>
      <c r="P33" s="608"/>
      <c r="Q33" s="608"/>
      <c r="R33" s="608"/>
      <c r="S33" s="608"/>
      <c r="T33" s="608"/>
      <c r="U33" s="609"/>
      <c r="V33" s="608"/>
      <c r="W33" s="608"/>
      <c r="X33" s="599"/>
      <c r="Y33" s="599"/>
      <c r="Z33" s="599"/>
      <c r="AA33" s="599"/>
      <c r="AB33" s="599"/>
      <c r="AC33" s="599"/>
      <c r="AD33" s="599"/>
      <c r="AE33" s="599"/>
      <c r="AF33" s="599"/>
      <c r="AG33" s="599"/>
      <c r="AH33" s="599"/>
      <c r="AI33" s="599"/>
      <c r="AJ33" s="599"/>
      <c r="AK33" s="599"/>
      <c r="AL33" s="599"/>
      <c r="AM33" s="1854"/>
    </row>
    <row customHeight="1" ht="29.25">
      <c r="A34" s="427"/>
      <c r="B34" s="427"/>
      <c r="C34" s="180"/>
      <c r="D34" s="1824"/>
      <c r="E34" s="1824"/>
      <c r="F34" s="1824"/>
      <c r="G34" s="2578" t="s">
        <v>103</v>
      </c>
      <c r="H34" s="2120" t="s">
        <v>92</v>
      </c>
      <c r="I34" s="2579" t="str">
        <f>IF(U34="","",INDEX(TERRITORY_MR_LIST,MATCH(U34,TERRITORY_LIST_ID,0)))</f>
        <v>Территория 7</v>
      </c>
      <c r="J34" s="2124" t="s">
        <v>64</v>
      </c>
      <c r="K34" s="836"/>
      <c r="L34" s="1785" t="s">
        <v>105</v>
      </c>
      <c r="M34" s="2649" t="s">
        <v>214</v>
      </c>
      <c r="N34" s="608"/>
      <c r="O34" s="608" t="s">
        <v>215</v>
      </c>
      <c r="P34" s="608" t="str">
        <f>$E$13</f>
        <v>Холодное водоснабжение. Питьевая вода</v>
      </c>
      <c r="Q34" s="608" t="str">
        <f>IF($F$34="нет","без дифференциации",$I$34)</f>
        <v>Территория 7</v>
      </c>
      <c r="R34" s="608" t="str">
        <f>IF($J$34="нет","без дифференциации",$M$34)</f>
        <v>Централизованная система водоснабжения Кавалеровского муниципального района</v>
      </c>
      <c r="S34" s="608"/>
      <c r="T34" s="608"/>
      <c r="U34" s="609" t="s">
        <v>129</v>
      </c>
      <c r="V34" s="608"/>
      <c r="W34" s="608"/>
      <c r="X34" s="599"/>
      <c r="Y34" s="599" t="s">
        <v>184</v>
      </c>
      <c r="Z34" s="599">
        <v>1705000</v>
      </c>
      <c r="AA34" s="599"/>
      <c r="AB34" s="599"/>
      <c r="AC34" s="599"/>
      <c r="AD34" s="599"/>
      <c r="AE34" s="599"/>
      <c r="AF34" s="599"/>
      <c r="AG34" s="599"/>
      <c r="AH34" s="599"/>
      <c r="AI34" s="599"/>
      <c r="AJ34" s="599"/>
      <c r="AK34" s="599"/>
      <c r="AL34" s="599"/>
      <c r="AM34" s="1854"/>
    </row>
    <row customHeight="1" ht="15">
      <c r="A35" s="427"/>
      <c r="B35" s="427"/>
      <c r="C35" s="180"/>
      <c r="D35" s="1824"/>
      <c r="E35" s="1824"/>
      <c r="F35" s="1824"/>
      <c r="G35" s="2578"/>
      <c r="H35" s="2120"/>
      <c r="I35" s="2579"/>
      <c r="J35" s="2124"/>
      <c r="K35" s="425"/>
      <c r="L35" s="181"/>
      <c r="M35" s="611" t="s">
        <v>199</v>
      </c>
      <c r="N35" s="608"/>
      <c r="O35" s="608"/>
      <c r="P35" s="608"/>
      <c r="Q35" s="608"/>
      <c r="R35" s="608"/>
      <c r="S35" s="608"/>
      <c r="T35" s="608"/>
      <c r="U35" s="609"/>
      <c r="V35" s="608"/>
      <c r="W35" s="608"/>
      <c r="X35" s="599"/>
      <c r="Y35" s="599"/>
      <c r="Z35" s="599"/>
      <c r="AA35" s="599"/>
      <c r="AB35" s="599"/>
      <c r="AC35" s="599"/>
      <c r="AD35" s="599"/>
      <c r="AE35" s="599"/>
      <c r="AF35" s="599"/>
      <c r="AG35" s="599"/>
      <c r="AH35" s="599"/>
      <c r="AI35" s="599"/>
      <c r="AJ35" s="599"/>
      <c r="AK35" s="599"/>
      <c r="AL35" s="599"/>
      <c r="AM35" s="1854"/>
    </row>
    <row customHeight="1" ht="27.75">
      <c r="A36" s="427"/>
      <c r="B36" s="427"/>
      <c r="C36" s="180"/>
      <c r="D36" s="1824"/>
      <c r="E36" s="1824"/>
      <c r="F36" s="1824"/>
      <c r="G36" s="2578" t="s">
        <v>103</v>
      </c>
      <c r="H36" s="2120" t="s">
        <v>133</v>
      </c>
      <c r="I36" s="2579" t="str">
        <f>IF(U36="","",INDEX(TERRITORY_MR_LIST,MATCH(U36,TERRITORY_LIST_ID,0)))</f>
        <v>Территория 8</v>
      </c>
      <c r="J36" s="2124" t="s">
        <v>64</v>
      </c>
      <c r="K36" s="836"/>
      <c r="L36" s="1785" t="s">
        <v>105</v>
      </c>
      <c r="M36" s="2649" t="s">
        <v>216</v>
      </c>
      <c r="N36" s="608"/>
      <c r="O36" s="608" t="s">
        <v>217</v>
      </c>
      <c r="P36" s="608" t="str">
        <f>$E$13</f>
        <v>Холодное водоснабжение. Питьевая вода</v>
      </c>
      <c r="Q36" s="608" t="str">
        <f>IF($F$36="нет","без дифференциации",$I$36)</f>
        <v>Территория 8</v>
      </c>
      <c r="R36" s="608" t="str">
        <f>IF($J$36="нет","без дифференциации",$M$36)</f>
        <v>Централизованная система водоснабжения Дмитриевского сельского поселения</v>
      </c>
      <c r="S36" s="608"/>
      <c r="T36" s="608"/>
      <c r="U36" s="609" t="s">
        <v>134</v>
      </c>
      <c r="V36" s="608"/>
      <c r="W36" s="608"/>
      <c r="X36" s="599"/>
      <c r="Y36" s="599" t="s">
        <v>184</v>
      </c>
      <c r="Z36" s="599">
        <v>1705000</v>
      </c>
      <c r="AA36" s="599"/>
      <c r="AB36" s="599"/>
      <c r="AC36" s="599"/>
      <c r="AD36" s="599"/>
      <c r="AE36" s="599"/>
      <c r="AF36" s="599"/>
      <c r="AG36" s="599"/>
      <c r="AH36" s="599"/>
      <c r="AI36" s="599"/>
      <c r="AJ36" s="599"/>
      <c r="AK36" s="599"/>
      <c r="AL36" s="599"/>
      <c r="AM36" s="1854"/>
    </row>
    <row customHeight="1" ht="24.75">
      <c r="A37" s="427"/>
      <c r="B37" s="427"/>
      <c r="C37" s="180"/>
      <c r="D37" s="1824"/>
      <c r="E37" s="1824"/>
      <c r="F37" s="1824"/>
      <c r="G37" s="1824"/>
      <c r="H37" s="1824"/>
      <c r="I37" s="1824"/>
      <c r="J37" s="1824"/>
      <c r="K37" s="1802" t="s">
        <v>103</v>
      </c>
      <c r="L37" s="1732" t="s">
        <v>102</v>
      </c>
      <c r="M37" s="815" t="s">
        <v>218</v>
      </c>
      <c r="N37" s="816"/>
      <c r="O37" s="608" t="s">
        <v>219</v>
      </c>
      <c r="P37" s="608" t="str">
        <f>$E$13</f>
        <v>Холодное водоснабжение. Питьевая вода</v>
      </c>
      <c r="Q37" s="608" t="str">
        <f>IF($F$36="нет","без дифференциации",$I$36)</f>
        <v>Территория 8</v>
      </c>
      <c r="R37" s="608" t="str">
        <f>IF($J$37="нет","без дифференциации",$M$37)</f>
        <v>Централизованная система водоснабжения Реттиховского сельского поселения</v>
      </c>
      <c r="S37" s="608"/>
      <c r="T37" s="608"/>
      <c r="U37" s="609"/>
      <c r="V37" s="608"/>
      <c r="W37" s="608"/>
      <c r="X37" s="599"/>
      <c r="Y37" s="599" t="s">
        <v>184</v>
      </c>
      <c r="Z37" s="599">
        <v>1705000</v>
      </c>
      <c r="AA37" s="599"/>
      <c r="AB37" s="599"/>
      <c r="AC37" s="599"/>
      <c r="AD37" s="599"/>
      <c r="AE37" s="599"/>
      <c r="AF37" s="599"/>
      <c r="AG37" s="599"/>
      <c r="AH37" s="599"/>
      <c r="AI37" s="599"/>
      <c r="AJ37" s="599"/>
      <c r="AK37" s="599"/>
      <c r="AL37" s="599"/>
      <c r="AM37" s="1854"/>
    </row>
    <row customHeight="1" ht="21">
      <c r="A38" s="427"/>
      <c r="B38" s="427"/>
      <c r="C38" s="180"/>
      <c r="D38" s="1824"/>
      <c r="E38" s="1824"/>
      <c r="F38" s="1824"/>
      <c r="G38" s="1824"/>
      <c r="H38" s="1824"/>
      <c r="I38" s="1824"/>
      <c r="J38" s="1824"/>
      <c r="K38" s="1802" t="s">
        <v>103</v>
      </c>
      <c r="L38" s="1732" t="s">
        <v>89</v>
      </c>
      <c r="M38" s="815" t="s">
        <v>220</v>
      </c>
      <c r="N38" s="816"/>
      <c r="O38" s="608" t="s">
        <v>221</v>
      </c>
      <c r="P38" s="608" t="str">
        <f>$E$13</f>
        <v>Холодное водоснабжение. Питьевая вода</v>
      </c>
      <c r="Q38" s="608" t="str">
        <f>IF($F$36="нет","без дифференциации",$I$36)</f>
        <v>Территория 8</v>
      </c>
      <c r="R38" s="608" t="str">
        <f>IF($J$38="нет","без дифференциации",$M$38)</f>
        <v>Централизованная система водоснабжения Снегуровского сельского поселения </v>
      </c>
      <c r="S38" s="608"/>
      <c r="T38" s="608"/>
      <c r="U38" s="609"/>
      <c r="V38" s="608"/>
      <c r="W38" s="608"/>
      <c r="X38" s="599"/>
      <c r="Y38" s="599" t="s">
        <v>184</v>
      </c>
      <c r="Z38" s="599">
        <v>1705000</v>
      </c>
      <c r="AA38" s="599"/>
      <c r="AB38" s="599"/>
      <c r="AC38" s="599"/>
      <c r="AD38" s="599"/>
      <c r="AE38" s="599"/>
      <c r="AF38" s="599"/>
      <c r="AG38" s="599"/>
      <c r="AH38" s="599"/>
      <c r="AI38" s="599"/>
      <c r="AJ38" s="599"/>
      <c r="AK38" s="599"/>
      <c r="AL38" s="599"/>
      <c r="AM38" s="1854"/>
    </row>
    <row customHeight="1" ht="32.25">
      <c r="A39" s="427"/>
      <c r="B39" s="427"/>
      <c r="C39" s="180"/>
      <c r="D39" s="1824"/>
      <c r="E39" s="1824"/>
      <c r="F39" s="1824"/>
      <c r="G39" s="1824"/>
      <c r="H39" s="1824"/>
      <c r="I39" s="1824"/>
      <c r="J39" s="1824"/>
      <c r="K39" s="1802" t="s">
        <v>103</v>
      </c>
      <c r="L39" s="1732" t="s">
        <v>90</v>
      </c>
      <c r="M39" s="815" t="s">
        <v>222</v>
      </c>
      <c r="N39" s="816"/>
      <c r="O39" s="608" t="s">
        <v>223</v>
      </c>
      <c r="P39" s="608" t="str">
        <f>$E$13</f>
        <v>Холодное водоснабжение. Питьевая вода</v>
      </c>
      <c r="Q39" s="608" t="str">
        <f>IF($F$36="нет","без дифференциации",$I$36)</f>
        <v>Территория 8</v>
      </c>
      <c r="R39" s="608" t="str">
        <f>IF($J$39="нет","без дифференциации",$M$39)</f>
        <v>Централизованная система водоснабжения Черниговского сельского поселения</v>
      </c>
      <c r="S39" s="608"/>
      <c r="T39" s="608"/>
      <c r="U39" s="609"/>
      <c r="V39" s="608"/>
      <c r="W39" s="608"/>
      <c r="X39" s="599"/>
      <c r="Y39" s="599" t="s">
        <v>184</v>
      </c>
      <c r="Z39" s="599">
        <v>1705000</v>
      </c>
      <c r="AA39" s="599"/>
      <c r="AB39" s="599"/>
      <c r="AC39" s="599"/>
      <c r="AD39" s="599"/>
      <c r="AE39" s="599"/>
      <c r="AF39" s="599"/>
      <c r="AG39" s="599"/>
      <c r="AH39" s="599"/>
      <c r="AI39" s="599"/>
      <c r="AJ39" s="599"/>
      <c r="AK39" s="599"/>
      <c r="AL39" s="599"/>
      <c r="AM39" s="1854"/>
    </row>
    <row customHeight="1" ht="15">
      <c r="A40" s="427"/>
      <c r="B40" s="427"/>
      <c r="C40" s="180"/>
      <c r="D40" s="1824"/>
      <c r="E40" s="1824"/>
      <c r="F40" s="1824"/>
      <c r="G40" s="2578"/>
      <c r="H40" s="2120"/>
      <c r="I40" s="2579"/>
      <c r="J40" s="2124"/>
      <c r="K40" s="425"/>
      <c r="L40" s="181"/>
      <c r="M40" s="611" t="s">
        <v>199</v>
      </c>
      <c r="N40" s="608"/>
      <c r="O40" s="608"/>
      <c r="P40" s="608"/>
      <c r="Q40" s="608"/>
      <c r="R40" s="608"/>
      <c r="S40" s="608"/>
      <c r="T40" s="608"/>
      <c r="U40" s="609"/>
      <c r="V40" s="608"/>
      <c r="W40" s="608"/>
      <c r="X40" s="599"/>
      <c r="Y40" s="599"/>
      <c r="Z40" s="599"/>
      <c r="AA40" s="599"/>
      <c r="AB40" s="599"/>
      <c r="AC40" s="599"/>
      <c r="AD40" s="599"/>
      <c r="AE40" s="599"/>
      <c r="AF40" s="599"/>
      <c r="AG40" s="599"/>
      <c r="AH40" s="599"/>
      <c r="AI40" s="599"/>
      <c r="AJ40" s="599"/>
      <c r="AK40" s="599"/>
      <c r="AL40" s="599"/>
      <c r="AM40" s="1854"/>
    </row>
    <row customHeight="1" ht="24.166666666666668">
      <c r="A41" s="427"/>
      <c r="B41" s="427"/>
      <c r="C41" s="180"/>
      <c r="D41" s="1824"/>
      <c r="E41" s="1824"/>
      <c r="F41" s="1824"/>
      <c r="G41" s="2578" t="s">
        <v>103</v>
      </c>
      <c r="H41" s="2120" t="s">
        <v>148</v>
      </c>
      <c r="I41" s="2579" t="str">
        <f>IF(U41="","",INDEX(TERRITORY_MR_LIST,MATCH(U41,TERRITORY_LIST_ID,0)))</f>
        <v>Территория 9</v>
      </c>
      <c r="J41" s="2124" t="s">
        <v>64</v>
      </c>
      <c r="K41" s="836"/>
      <c r="L41" s="1785" t="s">
        <v>105</v>
      </c>
      <c r="M41" s="2649" t="s">
        <v>224</v>
      </c>
      <c r="N41" s="608"/>
      <c r="O41" s="608" t="s">
        <v>225</v>
      </c>
      <c r="P41" s="608" t="str">
        <f>$E$13</f>
        <v>Холодное водоснабжение. Питьевая вода</v>
      </c>
      <c r="Q41" s="608" t="str">
        <f>IF($F$41="нет","без дифференциации",$I$41)</f>
        <v>Территория 9</v>
      </c>
      <c r="R41" s="608" t="str">
        <f>IF($J$41="нет","без дифференциации",$M$41)</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S41" s="608"/>
      <c r="T41" s="608"/>
      <c r="U41" s="609" t="s">
        <v>149</v>
      </c>
      <c r="V41" s="608"/>
      <c r="W41" s="608"/>
      <c r="X41" s="599"/>
      <c r="Y41" s="599" t="s">
        <v>184</v>
      </c>
      <c r="Z41" s="599">
        <v>1705000</v>
      </c>
      <c r="AA41" s="599"/>
      <c r="AB41" s="599"/>
      <c r="AC41" s="599"/>
      <c r="AD41" s="599"/>
      <c r="AE41" s="599"/>
      <c r="AF41" s="599"/>
      <c r="AG41" s="599"/>
      <c r="AH41" s="599"/>
      <c r="AI41" s="599"/>
      <c r="AJ41" s="599"/>
      <c r="AK41" s="599"/>
      <c r="AL41" s="599"/>
      <c r="AM41" s="1854"/>
    </row>
    <row customHeight="1" ht="38.33333333333333">
      <c r="A42" s="427"/>
      <c r="B42" s="427"/>
      <c r="C42" s="180"/>
      <c r="D42" s="1824"/>
      <c r="E42" s="1824"/>
      <c r="F42" s="1824"/>
      <c r="G42" s="1824"/>
      <c r="H42" s="1824"/>
      <c r="I42" s="1824"/>
      <c r="J42" s="1824"/>
      <c r="K42" s="1802" t="s">
        <v>103</v>
      </c>
      <c r="L42" s="1732" t="s">
        <v>102</v>
      </c>
      <c r="M42" s="815" t="s">
        <v>226</v>
      </c>
      <c r="N42" s="816"/>
      <c r="O42" s="608" t="s">
        <v>227</v>
      </c>
      <c r="P42" s="608" t="str">
        <f>$E$13</f>
        <v>Холодное водоснабжение. Питьевая вода</v>
      </c>
      <c r="Q42" s="608" t="str">
        <f>IF($F$41="нет","без дифференциации",$I$41)</f>
        <v>Территория 9</v>
      </c>
      <c r="R42" s="608" t="str">
        <f>IF($J$42="нет","без дифференциации",$M$42)</f>
        <v>Централизованная система водоснабжения городского округа Спасск-Дальний МКР Лазо</v>
      </c>
      <c r="S42" s="608"/>
      <c r="T42" s="608"/>
      <c r="U42" s="609"/>
      <c r="V42" s="608"/>
      <c r="W42" s="608"/>
      <c r="X42" s="599"/>
      <c r="Y42" s="599" t="s">
        <v>184</v>
      </c>
      <c r="Z42" s="599">
        <v>1705000</v>
      </c>
      <c r="AA42" s="599"/>
      <c r="AB42" s="599"/>
      <c r="AC42" s="599"/>
      <c r="AD42" s="599"/>
      <c r="AE42" s="599"/>
      <c r="AF42" s="599"/>
      <c r="AG42" s="599"/>
      <c r="AH42" s="599"/>
      <c r="AI42" s="599"/>
      <c r="AJ42" s="599"/>
      <c r="AK42" s="599"/>
      <c r="AL42" s="599"/>
      <c r="AM42" s="1854"/>
    </row>
    <row customHeight="1" ht="36.666666666666664">
      <c r="A43" s="427"/>
      <c r="B43" s="427"/>
      <c r="C43" s="180"/>
      <c r="D43" s="1824"/>
      <c r="E43" s="1824"/>
      <c r="F43" s="1824"/>
      <c r="G43" s="2578"/>
      <c r="H43" s="2120"/>
      <c r="I43" s="2579"/>
      <c r="J43" s="2124"/>
      <c r="K43" s="425"/>
      <c r="L43" s="181"/>
      <c r="M43" s="611" t="s">
        <v>199</v>
      </c>
      <c r="N43" s="608"/>
      <c r="O43" s="608"/>
      <c r="P43" s="608"/>
      <c r="Q43" s="608"/>
      <c r="R43" s="608"/>
      <c r="S43" s="608"/>
      <c r="T43" s="608"/>
      <c r="U43" s="609"/>
      <c r="V43" s="608"/>
      <c r="W43" s="608"/>
      <c r="X43" s="599"/>
      <c r="Y43" s="599"/>
      <c r="Z43" s="599"/>
      <c r="AA43" s="599"/>
      <c r="AB43" s="599"/>
      <c r="AC43" s="599"/>
      <c r="AD43" s="599"/>
      <c r="AE43" s="599"/>
      <c r="AF43" s="599"/>
      <c r="AG43" s="599"/>
      <c r="AH43" s="599"/>
      <c r="AI43" s="599"/>
      <c r="AJ43" s="599"/>
      <c r="AK43" s="599"/>
      <c r="AL43" s="599"/>
      <c r="AM43" s="1854"/>
    </row>
    <row customHeight="1" ht="15">
      <c r="A44" s="427"/>
      <c r="B44" s="427"/>
      <c r="C44" s="180"/>
      <c r="D44" s="1824"/>
      <c r="E44" s="1824"/>
      <c r="F44" s="1824"/>
      <c r="G44" s="2578" t="s">
        <v>103</v>
      </c>
      <c r="H44" s="2120" t="s">
        <v>155</v>
      </c>
      <c r="I44" s="2579" t="str">
        <f>IF(U44="","",INDEX(TERRITORY_MR_LIST,MATCH(U44,TERRITORY_LIST_ID,0)))</f>
        <v>Территория 10</v>
      </c>
      <c r="J44" s="2124" t="s">
        <v>64</v>
      </c>
      <c r="K44" s="836"/>
      <c r="L44" s="1785" t="s">
        <v>105</v>
      </c>
      <c r="M44" s="2649" t="s">
        <v>228</v>
      </c>
      <c r="N44" s="608"/>
      <c r="O44" s="608" t="s">
        <v>229</v>
      </c>
      <c r="P44" s="608" t="str">
        <f>$E$13</f>
        <v>Холодное водоснабжение. Питьевая вода</v>
      </c>
      <c r="Q44" s="608" t="str">
        <f>IF($F$44="нет","без дифференциации",$I$44)</f>
        <v>Территория 10</v>
      </c>
      <c r="R44" s="608" t="str">
        <f>IF($J$44="нет","без дифференциации",$M$44)</f>
        <v>Централизованная система водоснабжения Глубинненского сельского поселения</v>
      </c>
      <c r="S44" s="608"/>
      <c r="T44" s="608"/>
      <c r="U44" s="609" t="s">
        <v>156</v>
      </c>
      <c r="V44" s="608"/>
      <c r="W44" s="608"/>
      <c r="X44" s="599"/>
      <c r="Y44" s="599" t="s">
        <v>184</v>
      </c>
      <c r="Z44" s="599">
        <v>1705000</v>
      </c>
      <c r="AA44" s="599"/>
      <c r="AB44" s="599"/>
      <c r="AC44" s="599"/>
      <c r="AD44" s="599"/>
      <c r="AE44" s="599"/>
      <c r="AF44" s="599"/>
      <c r="AG44" s="599"/>
      <c r="AH44" s="599"/>
      <c r="AI44" s="599"/>
      <c r="AJ44" s="599"/>
      <c r="AK44" s="599"/>
      <c r="AL44" s="599"/>
      <c r="AM44" s="1854"/>
    </row>
    <row customHeight="1" ht="15">
      <c r="A45" s="427"/>
      <c r="B45" s="427"/>
      <c r="C45" s="180"/>
      <c r="D45" s="1824"/>
      <c r="E45" s="1824"/>
      <c r="F45" s="1824"/>
      <c r="G45" s="2578"/>
      <c r="H45" s="2120"/>
      <c r="I45" s="2579"/>
      <c r="J45" s="2124"/>
      <c r="K45" s="425"/>
      <c r="L45" s="181"/>
      <c r="M45" s="611" t="s">
        <v>199</v>
      </c>
      <c r="N45" s="608"/>
      <c r="O45" s="608"/>
      <c r="P45" s="608"/>
      <c r="Q45" s="608"/>
      <c r="R45" s="608"/>
      <c r="S45" s="608"/>
      <c r="T45" s="608"/>
      <c r="U45" s="609"/>
      <c r="V45" s="608"/>
      <c r="W45" s="608"/>
      <c r="X45" s="599"/>
      <c r="Y45" s="599"/>
      <c r="Z45" s="599"/>
      <c r="AA45" s="599"/>
      <c r="AB45" s="599"/>
      <c r="AC45" s="599"/>
      <c r="AD45" s="599"/>
      <c r="AE45" s="599"/>
      <c r="AF45" s="599"/>
      <c r="AG45" s="599"/>
      <c r="AH45" s="599"/>
      <c r="AI45" s="599"/>
      <c r="AJ45" s="599"/>
      <c r="AK45" s="599"/>
      <c r="AL45" s="599"/>
      <c r="AM45" s="1854"/>
    </row>
    <row customHeight="1" ht="15">
      <c r="A46" s="427"/>
      <c r="B46" s="427"/>
      <c r="C46" s="180"/>
      <c r="D46" s="1824"/>
      <c r="E46" s="1824"/>
      <c r="F46" s="1824"/>
      <c r="G46" s="2578" t="s">
        <v>103</v>
      </c>
      <c r="H46" s="2120" t="s">
        <v>161</v>
      </c>
      <c r="I46" s="2579" t="str">
        <f>IF(U46="","",INDEX(TERRITORY_MR_LIST,MATCH(U46,TERRITORY_LIST_ID,0)))</f>
        <v>Территория 11</v>
      </c>
      <c r="J46" s="2124" t="s">
        <v>64</v>
      </c>
      <c r="K46" s="836"/>
      <c r="L46" s="1785" t="s">
        <v>105</v>
      </c>
      <c r="M46" s="2649" t="s">
        <v>230</v>
      </c>
      <c r="N46" s="608"/>
      <c r="O46" s="608" t="s">
        <v>231</v>
      </c>
      <c r="P46" s="608" t="str">
        <f>$E$13</f>
        <v>Холодное водоснабжение. Питьевая вода</v>
      </c>
      <c r="Q46" s="608" t="str">
        <f>IF($F$46="нет","без дифференциации",$I$46)</f>
        <v>Территория 11</v>
      </c>
      <c r="R46" s="608" t="str">
        <f>IF($J$46="нет","без дифференциации",$M$46)</f>
        <v>Централизованная система водоснабжения  Дальнереченского городского округа</v>
      </c>
      <c r="S46" s="608"/>
      <c r="T46" s="608"/>
      <c r="U46" s="609" t="s">
        <v>162</v>
      </c>
      <c r="V46" s="608"/>
      <c r="W46" s="608"/>
      <c r="X46" s="599"/>
      <c r="Y46" s="599" t="s">
        <v>184</v>
      </c>
      <c r="Z46" s="599">
        <v>1705000</v>
      </c>
      <c r="AA46" s="599"/>
      <c r="AB46" s="599"/>
      <c r="AC46" s="599"/>
      <c r="AD46" s="599"/>
      <c r="AE46" s="599"/>
      <c r="AF46" s="599"/>
      <c r="AG46" s="599"/>
      <c r="AH46" s="599"/>
      <c r="AI46" s="599"/>
      <c r="AJ46" s="599"/>
      <c r="AK46" s="599"/>
      <c r="AL46" s="599"/>
      <c r="AM46" s="1854"/>
    </row>
    <row customHeight="1" ht="15">
      <c r="A47" s="427"/>
      <c r="B47" s="427"/>
      <c r="C47" s="180"/>
      <c r="D47" s="1824"/>
      <c r="E47" s="1824"/>
      <c r="F47" s="1824"/>
      <c r="G47" s="1824"/>
      <c r="H47" s="1824"/>
      <c r="I47" s="1824"/>
      <c r="J47" s="1824"/>
      <c r="K47" s="1802" t="s">
        <v>103</v>
      </c>
      <c r="L47" s="1732" t="s">
        <v>102</v>
      </c>
      <c r="M47" s="815" t="s">
        <v>232</v>
      </c>
      <c r="N47" s="816"/>
      <c r="O47" s="608" t="s">
        <v>233</v>
      </c>
      <c r="P47" s="608" t="str">
        <f>$E$13</f>
        <v>Холодное водоснабжение. Питьевая вода</v>
      </c>
      <c r="Q47" s="608" t="str">
        <f>IF($F$46="нет","без дифференциации",$I$46)</f>
        <v>Территория 11</v>
      </c>
      <c r="R47" s="608" t="str">
        <f>IF($J$47="нет","без дифференциации",$M$47)</f>
        <v>Централизованная система водоснабжения  Дальнереченского городского округа (в.г.Графский)</v>
      </c>
      <c r="S47" s="608"/>
      <c r="T47" s="608"/>
      <c r="U47" s="609"/>
      <c r="V47" s="608"/>
      <c r="W47" s="608"/>
      <c r="X47" s="599"/>
      <c r="Y47" s="599" t="s">
        <v>184</v>
      </c>
      <c r="Z47" s="599">
        <v>1705000</v>
      </c>
      <c r="AA47" s="599"/>
      <c r="AB47" s="599"/>
      <c r="AC47" s="599"/>
      <c r="AD47" s="599"/>
      <c r="AE47" s="599"/>
      <c r="AF47" s="599"/>
      <c r="AG47" s="599"/>
      <c r="AH47" s="599"/>
      <c r="AI47" s="599"/>
      <c r="AJ47" s="599"/>
      <c r="AK47" s="599"/>
      <c r="AL47" s="599"/>
      <c r="AM47" s="1854"/>
    </row>
    <row customHeight="1" ht="15">
      <c r="A48" s="427"/>
      <c r="B48" s="427"/>
      <c r="C48" s="180"/>
      <c r="D48" s="1824"/>
      <c r="E48" s="1824"/>
      <c r="F48" s="1824"/>
      <c r="G48" s="2578"/>
      <c r="H48" s="2120"/>
      <c r="I48" s="2579"/>
      <c r="J48" s="2124"/>
      <c r="K48" s="425"/>
      <c r="L48" s="181"/>
      <c r="M48" s="611" t="s">
        <v>199</v>
      </c>
      <c r="N48" s="608"/>
      <c r="O48" s="608"/>
      <c r="P48" s="608"/>
      <c r="Q48" s="608"/>
      <c r="R48" s="608"/>
      <c r="S48" s="608"/>
      <c r="T48" s="608"/>
      <c r="U48" s="609"/>
      <c r="V48" s="608"/>
      <c r="W48" s="608"/>
      <c r="X48" s="599"/>
      <c r="Y48" s="599"/>
      <c r="Z48" s="599"/>
      <c r="AA48" s="599"/>
      <c r="AB48" s="599"/>
      <c r="AC48" s="599"/>
      <c r="AD48" s="599"/>
      <c r="AE48" s="599"/>
      <c r="AF48" s="599"/>
      <c r="AG48" s="599"/>
      <c r="AH48" s="599"/>
      <c r="AI48" s="599"/>
      <c r="AJ48" s="599"/>
      <c r="AK48" s="599"/>
      <c r="AL48" s="599"/>
      <c r="AM48" s="1854"/>
    </row>
    <row customHeight="1" ht="15">
      <c r="A49" s="427"/>
      <c r="B49" s="427"/>
      <c r="C49" s="180"/>
      <c r="D49" s="1824"/>
      <c r="E49" s="1824"/>
      <c r="F49" s="1824"/>
      <c r="G49" s="2578" t="s">
        <v>103</v>
      </c>
      <c r="H49" s="2120" t="s">
        <v>165</v>
      </c>
      <c r="I49" s="2579" t="str">
        <f>IF(U49="","",INDEX(TERRITORY_MR_LIST,MATCH(U49,TERRITORY_LIST_ID,0)))</f>
        <v>Территория 12</v>
      </c>
      <c r="J49" s="2124" t="s">
        <v>64</v>
      </c>
      <c r="K49" s="836"/>
      <c r="L49" s="1785" t="s">
        <v>105</v>
      </c>
      <c r="M49" s="2649" t="s">
        <v>234</v>
      </c>
      <c r="N49" s="608"/>
      <c r="O49" s="608" t="s">
        <v>235</v>
      </c>
      <c r="P49" s="608" t="str">
        <f>$E$13</f>
        <v>Холодное водоснабжение. Питьевая вода</v>
      </c>
      <c r="Q49" s="608" t="str">
        <f>IF($F$49="нет","без дифференциации",$I$49)</f>
        <v>Территория 12</v>
      </c>
      <c r="R49" s="608" t="str">
        <f>IF($J$49="нет","без дифференциации",$M$49)</f>
        <v>Централизованная истема водоснабжения Варфоломеевского сельского поселения (железнодорожная станция Варфоломеевка)</v>
      </c>
      <c r="S49" s="608"/>
      <c r="T49" s="608"/>
      <c r="U49" s="609" t="s">
        <v>166</v>
      </c>
      <c r="V49" s="608"/>
      <c r="W49" s="608"/>
      <c r="X49" s="599"/>
      <c r="Y49" s="599" t="s">
        <v>184</v>
      </c>
      <c r="Z49" s="599">
        <v>1705000</v>
      </c>
      <c r="AA49" s="599"/>
      <c r="AB49" s="599"/>
      <c r="AC49" s="599"/>
      <c r="AD49" s="599"/>
      <c r="AE49" s="599"/>
      <c r="AF49" s="599"/>
      <c r="AG49" s="599"/>
      <c r="AH49" s="599"/>
      <c r="AI49" s="599"/>
      <c r="AJ49" s="599"/>
      <c r="AK49" s="599"/>
      <c r="AL49" s="599"/>
      <c r="AM49" s="1854"/>
    </row>
    <row customHeight="1" ht="15">
      <c r="A50" s="427"/>
      <c r="B50" s="427"/>
      <c r="C50" s="180"/>
      <c r="D50" s="1824"/>
      <c r="E50" s="1824"/>
      <c r="F50" s="1824"/>
      <c r="G50" s="2578"/>
      <c r="H50" s="2120"/>
      <c r="I50" s="2579"/>
      <c r="J50" s="2124"/>
      <c r="K50" s="425"/>
      <c r="L50" s="181"/>
      <c r="M50" s="611" t="s">
        <v>199</v>
      </c>
      <c r="N50" s="608"/>
      <c r="O50" s="608"/>
      <c r="P50" s="608"/>
      <c r="Q50" s="608"/>
      <c r="R50" s="608"/>
      <c r="S50" s="608"/>
      <c r="T50" s="608"/>
      <c r="U50" s="609"/>
      <c r="V50" s="608"/>
      <c r="W50" s="608"/>
      <c r="X50" s="599"/>
      <c r="Y50" s="599"/>
      <c r="Z50" s="599"/>
      <c r="AA50" s="599"/>
      <c r="AB50" s="599"/>
      <c r="AC50" s="599"/>
      <c r="AD50" s="599"/>
      <c r="AE50" s="599"/>
      <c r="AF50" s="599"/>
      <c r="AG50" s="599"/>
      <c r="AH50" s="599"/>
      <c r="AI50" s="599"/>
      <c r="AJ50" s="599"/>
      <c r="AK50" s="599"/>
      <c r="AL50" s="599"/>
      <c r="AM50" s="1854"/>
    </row>
    <row s="1854" customFormat="1" customHeight="1" ht="15.75">
      <c r="A51" s="297"/>
      <c r="B51" s="297"/>
      <c r="C51" s="180"/>
      <c r="D51" s="2125"/>
      <c r="E51" s="2128"/>
      <c r="F51" s="2124"/>
      <c r="G51" s="1064"/>
      <c r="H51" s="1065"/>
      <c r="I51" s="584" t="s">
        <v>236</v>
      </c>
      <c r="J51" s="181"/>
      <c r="K51" s="181"/>
      <c r="L51" s="181"/>
      <c r="M51" s="612"/>
      <c r="N51" s="816"/>
      <c r="O51" s="1420"/>
      <c r="P51" s="1417"/>
      <c r="Q51" s="1417"/>
      <c r="R51" s="1417"/>
      <c r="S51" s="1420"/>
      <c r="T51" s="1420"/>
      <c r="U51" s="1270"/>
      <c r="V51" s="1270"/>
      <c r="W51" s="1270"/>
      <c r="X51" s="1270"/>
      <c r="Y51" s="608"/>
      <c r="Z51" s="608"/>
      <c r="AA51" s="608"/>
      <c r="AB51" s="608"/>
      <c r="AC51" s="608"/>
      <c r="AD51" s="608"/>
      <c r="AE51" s="608"/>
      <c r="AF51" s="608"/>
      <c r="AG51" s="608"/>
      <c r="AH51" s="608"/>
      <c r="AI51" s="608"/>
      <c r="AJ51" s="608"/>
      <c r="AK51" s="608"/>
      <c r="AL51" s="608"/>
      <c r="AM51" s="610">
        <v>15</v>
      </c>
    </row>
    <row customHeight="1" ht="15">
      <c r="A52" s="427"/>
      <c r="B52" s="427"/>
      <c r="C52" s="1731" t="s">
        <v>103</v>
      </c>
      <c r="D52" s="2125" t="s">
        <v>102</v>
      </c>
      <c r="E52" s="2126" t="str">
        <f>INDEX(VD_NAME_LIST,MATCH("4189677",VD_ID_LIST,0))</f>
        <v>Подключение (технологическое присоединение) к централизованной системе водоснабжения</v>
      </c>
      <c r="F52" s="2124" t="s">
        <v>64</v>
      </c>
      <c r="G52" s="2574"/>
      <c r="H52" s="2144"/>
      <c r="I52" s="2650" t="str">
        <f>IF($U$52="","",INDEX(TERRITORY_MR_LIST,MATCH($U$52,TERRITORY_LIST_ID,0)))</f>
        <v>Территория 8</v>
      </c>
      <c r="J52" s="2124" t="s">
        <v>64</v>
      </c>
      <c r="K52" s="836"/>
      <c r="L52" s="1785" t="s">
        <v>105</v>
      </c>
      <c r="M52" s="2649" t="s">
        <v>237</v>
      </c>
      <c r="N52" s="608"/>
      <c r="O52" s="608" t="s">
        <v>238</v>
      </c>
      <c r="P52" s="608" t="str">
        <f>$E$52</f>
        <v>Подключение (технологическое присоединение) к централизованной системе водоснабжения</v>
      </c>
      <c r="Q52" s="608" t="str">
        <f>IF($F$52="нет","без дифференциации",$I$52)</f>
        <v>Территория 8</v>
      </c>
      <c r="R52" s="608" t="str">
        <f>IF($J$52="нет","без дифференциации",$M$52)</f>
        <v>Черниговский МР</v>
      </c>
      <c r="S52" s="608"/>
      <c r="T52" s="608"/>
      <c r="U52" s="609" t="s">
        <v>134</v>
      </c>
      <c r="V52" s="608" t="s">
        <v>239</v>
      </c>
      <c r="W52" s="608"/>
      <c r="X52" s="599"/>
      <c r="Y52" s="599" t="s">
        <v>184</v>
      </c>
      <c r="Z52" s="599">
        <v>1705000</v>
      </c>
      <c r="AA52" s="599"/>
      <c r="AB52" s="599"/>
      <c r="AC52" s="599"/>
      <c r="AD52" s="599"/>
      <c r="AE52" s="599"/>
      <c r="AF52" s="599"/>
      <c r="AG52" s="599"/>
      <c r="AH52" s="599"/>
      <c r="AI52" s="599"/>
      <c r="AJ52" s="599"/>
      <c r="AK52" s="599"/>
      <c r="AL52" s="599"/>
      <c r="AM52" s="1854"/>
    </row>
    <row customHeight="1" ht="15">
      <c r="A53" s="427"/>
      <c r="B53" s="427"/>
      <c r="C53" s="180"/>
      <c r="D53" s="2125"/>
      <c r="E53" s="2127"/>
      <c r="F53" s="2124"/>
      <c r="G53" s="2575"/>
      <c r="H53" s="2144"/>
      <c r="I53" s="2651" t="str">
        <f>IF($U$52="","",INDEX(TERRITORY_MR_LIST,MATCH($U$52,TERRITORY_LIST_ID,0)))</f>
        <v>Территория 8</v>
      </c>
      <c r="J53" s="2124"/>
      <c r="K53" s="425"/>
      <c r="L53" s="181"/>
      <c r="M53" s="611" t="s">
        <v>199</v>
      </c>
      <c r="N53" s="608"/>
      <c r="O53" s="608"/>
      <c r="P53" s="608"/>
      <c r="Q53" s="608"/>
      <c r="R53" s="608"/>
      <c r="S53" s="608"/>
      <c r="T53" s="608"/>
      <c r="U53" s="609"/>
      <c r="V53" s="608"/>
      <c r="W53" s="608"/>
      <c r="X53" s="599"/>
      <c r="Y53" s="599"/>
      <c r="Z53" s="599"/>
      <c r="AA53" s="599"/>
      <c r="AB53" s="599"/>
      <c r="AC53" s="599"/>
      <c r="AD53" s="599"/>
      <c r="AE53" s="599"/>
      <c r="AF53" s="599"/>
      <c r="AG53" s="599"/>
      <c r="AH53" s="599"/>
      <c r="AI53" s="599"/>
      <c r="AJ53" s="599"/>
      <c r="AK53" s="599"/>
      <c r="AL53" s="599"/>
      <c r="AM53" s="1854"/>
    </row>
    <row customHeight="1" ht="15">
      <c r="A54" s="427"/>
      <c r="B54" s="427"/>
      <c r="C54" s="180"/>
      <c r="D54" s="1824"/>
      <c r="E54" s="1824"/>
      <c r="F54" s="1824"/>
      <c r="G54" s="2578" t="s">
        <v>103</v>
      </c>
      <c r="H54" s="2120"/>
      <c r="I54" s="2579" t="str">
        <f>IF(U54="","",INDEX(TERRITORY_MR_LIST,MATCH(U54,TERRITORY_LIST_ID,0)))</f>
        <v>Территория 9</v>
      </c>
      <c r="J54" s="2124" t="s">
        <v>64</v>
      </c>
      <c r="K54" s="836"/>
      <c r="L54" s="1785" t="s">
        <v>105</v>
      </c>
      <c r="M54" s="2649" t="s">
        <v>150</v>
      </c>
      <c r="N54" s="608"/>
      <c r="O54" s="608" t="s">
        <v>240</v>
      </c>
      <c r="P54" s="608" t="str">
        <f>$E$52</f>
        <v>Подключение (технологическое присоединение) к централизованной системе водоснабжения</v>
      </c>
      <c r="Q54" s="608" t="str">
        <f>IF($F$54="нет","без дифференциации",$I$54)</f>
        <v>Территория 9</v>
      </c>
      <c r="R54" s="608" t="str">
        <f>IF($J$54="нет","без дифференциации",$M$54)</f>
        <v>Городской округ Спасск-Дальний</v>
      </c>
      <c r="S54" s="608"/>
      <c r="T54" s="608"/>
      <c r="U54" s="609" t="s">
        <v>149</v>
      </c>
      <c r="V54" s="608"/>
      <c r="W54" s="608"/>
      <c r="X54" s="599"/>
      <c r="Y54" s="599" t="s">
        <v>184</v>
      </c>
      <c r="Z54" s="599">
        <v>1705000</v>
      </c>
      <c r="AA54" s="599"/>
      <c r="AB54" s="599"/>
      <c r="AC54" s="599"/>
      <c r="AD54" s="599"/>
      <c r="AE54" s="599"/>
      <c r="AF54" s="599"/>
      <c r="AG54" s="599"/>
      <c r="AH54" s="599"/>
      <c r="AI54" s="599"/>
      <c r="AJ54" s="599"/>
      <c r="AK54" s="599"/>
      <c r="AL54" s="599"/>
      <c r="AM54" s="1854"/>
    </row>
    <row customHeight="1" ht="15">
      <c r="A55" s="427"/>
      <c r="B55" s="427"/>
      <c r="C55" s="180"/>
      <c r="D55" s="1824"/>
      <c r="E55" s="1824"/>
      <c r="F55" s="1824"/>
      <c r="G55" s="2578"/>
      <c r="H55" s="2120"/>
      <c r="I55" s="2579"/>
      <c r="J55" s="2124"/>
      <c r="K55" s="425"/>
      <c r="L55" s="181"/>
      <c r="M55" s="611" t="s">
        <v>199</v>
      </c>
      <c r="N55" s="608"/>
      <c r="O55" s="608"/>
      <c r="P55" s="608"/>
      <c r="Q55" s="608"/>
      <c r="R55" s="608"/>
      <c r="S55" s="608"/>
      <c r="T55" s="608"/>
      <c r="U55" s="609"/>
      <c r="V55" s="608"/>
      <c r="W55" s="608"/>
      <c r="X55" s="599"/>
      <c r="Y55" s="599"/>
      <c r="Z55" s="599"/>
      <c r="AA55" s="599"/>
      <c r="AB55" s="599"/>
      <c r="AC55" s="599"/>
      <c r="AD55" s="599"/>
      <c r="AE55" s="599"/>
      <c r="AF55" s="599"/>
      <c r="AG55" s="599"/>
      <c r="AH55" s="599"/>
      <c r="AI55" s="599"/>
      <c r="AJ55" s="599"/>
      <c r="AK55" s="599"/>
      <c r="AL55" s="599"/>
      <c r="AM55" s="1854"/>
    </row>
    <row customHeight="1" ht="15">
      <c r="A56" s="427"/>
      <c r="B56" s="427"/>
      <c r="C56" s="180"/>
      <c r="D56" s="1824"/>
      <c r="E56" s="1824"/>
      <c r="F56" s="1824"/>
      <c r="G56" s="2578" t="s">
        <v>103</v>
      </c>
      <c r="H56" s="2120"/>
      <c r="I56" s="2579" t="str">
        <f>IF(U56="","",INDEX(TERRITORY_MR_LIST,MATCH(U56,TERRITORY_LIST_ID,0)))</f>
        <v>Территория 6</v>
      </c>
      <c r="J56" s="2124" t="s">
        <v>64</v>
      </c>
      <c r="K56" s="836"/>
      <c r="L56" s="1785" t="s">
        <v>105</v>
      </c>
      <c r="M56" s="2649" t="s">
        <v>241</v>
      </c>
      <c r="N56" s="608"/>
      <c r="O56" s="608" t="s">
        <v>242</v>
      </c>
      <c r="P56" s="608" t="str">
        <f>$E$52</f>
        <v>Подключение (технологическое присоединение) к централизованной системе водоснабжения</v>
      </c>
      <c r="Q56" s="608" t="str">
        <f>IF($F$56="нет","без дифференциации",$I$56)</f>
        <v>Территория 6</v>
      </c>
      <c r="R56" s="608" t="str">
        <f>IF($J$56="нет","без дифференциации",$M$56)</f>
        <v>Дальнегорский ГО</v>
      </c>
      <c r="S56" s="608"/>
      <c r="T56" s="608"/>
      <c r="U56" s="609" t="s">
        <v>126</v>
      </c>
      <c r="V56" s="608"/>
      <c r="W56" s="608"/>
      <c r="X56" s="599"/>
      <c r="Y56" s="599" t="s">
        <v>184</v>
      </c>
      <c r="Z56" s="599">
        <v>1705000</v>
      </c>
      <c r="AA56" s="599"/>
      <c r="AB56" s="599"/>
      <c r="AC56" s="599"/>
      <c r="AD56" s="599"/>
      <c r="AE56" s="599"/>
      <c r="AF56" s="599"/>
      <c r="AG56" s="599"/>
      <c r="AH56" s="599"/>
      <c r="AI56" s="599"/>
      <c r="AJ56" s="599"/>
      <c r="AK56" s="599"/>
      <c r="AL56" s="599"/>
      <c r="AM56" s="1854"/>
    </row>
    <row customHeight="1" ht="15">
      <c r="A57" s="427"/>
      <c r="B57" s="427"/>
      <c r="C57" s="180"/>
      <c r="D57" s="1824"/>
      <c r="E57" s="1824"/>
      <c r="F57" s="1824"/>
      <c r="G57" s="2578"/>
      <c r="H57" s="2120"/>
      <c r="I57" s="2579"/>
      <c r="J57" s="2124"/>
      <c r="K57" s="425"/>
      <c r="L57" s="181"/>
      <c r="M57" s="611" t="s">
        <v>199</v>
      </c>
      <c r="N57" s="608"/>
      <c r="O57" s="608"/>
      <c r="P57" s="608"/>
      <c r="Q57" s="608"/>
      <c r="R57" s="608"/>
      <c r="S57" s="608"/>
      <c r="T57" s="608"/>
      <c r="U57" s="609"/>
      <c r="V57" s="608"/>
      <c r="W57" s="608"/>
      <c r="X57" s="599"/>
      <c r="Y57" s="599"/>
      <c r="Z57" s="599"/>
      <c r="AA57" s="599"/>
      <c r="AB57" s="599"/>
      <c r="AC57" s="599"/>
      <c r="AD57" s="599"/>
      <c r="AE57" s="599"/>
      <c r="AF57" s="599"/>
      <c r="AG57" s="599"/>
      <c r="AH57" s="599"/>
      <c r="AI57" s="599"/>
      <c r="AJ57" s="599"/>
      <c r="AK57" s="599"/>
      <c r="AL57" s="599"/>
      <c r="AM57" s="1854"/>
    </row>
    <row customHeight="1" ht="15">
      <c r="A58" s="427"/>
      <c r="B58" s="427"/>
      <c r="C58" s="180"/>
      <c r="D58" s="1824"/>
      <c r="E58" s="1824"/>
      <c r="F58" s="1824"/>
      <c r="G58" s="2578" t="s">
        <v>103</v>
      </c>
      <c r="H58" s="2120"/>
      <c r="I58" s="2579" t="str">
        <f>IF(U58="","",INDEX(TERRITORY_MR_LIST,MATCH(U58,TERRITORY_LIST_ID,0)))</f>
        <v>Территория 7</v>
      </c>
      <c r="J58" s="2124" t="s">
        <v>64</v>
      </c>
      <c r="K58" s="836"/>
      <c r="L58" s="1785" t="s">
        <v>105</v>
      </c>
      <c r="M58" s="2649" t="s">
        <v>243</v>
      </c>
      <c r="N58" s="608"/>
      <c r="O58" s="608" t="s">
        <v>244</v>
      </c>
      <c r="P58" s="608" t="str">
        <f>$E$52</f>
        <v>Подключение (технологическое присоединение) к централизованной системе водоснабжения</v>
      </c>
      <c r="Q58" s="608" t="str">
        <f>IF($F$58="нет","без дифференциации",$I$58)</f>
        <v>Территория 7</v>
      </c>
      <c r="R58" s="608" t="str">
        <f>IF($J$58="нет","без дифференциации",$M$58)</f>
        <v>Кавалеровский МО</v>
      </c>
      <c r="S58" s="608"/>
      <c r="T58" s="608"/>
      <c r="U58" s="609" t="s">
        <v>129</v>
      </c>
      <c r="V58" s="608"/>
      <c r="W58" s="608"/>
      <c r="X58" s="599"/>
      <c r="Y58" s="599" t="s">
        <v>184</v>
      </c>
      <c r="Z58" s="599">
        <v>1705000</v>
      </c>
      <c r="AA58" s="599"/>
      <c r="AB58" s="599"/>
      <c r="AC58" s="599"/>
      <c r="AD58" s="599"/>
      <c r="AE58" s="599"/>
      <c r="AF58" s="599"/>
      <c r="AG58" s="599"/>
      <c r="AH58" s="599"/>
      <c r="AI58" s="599"/>
      <c r="AJ58" s="599"/>
      <c r="AK58" s="599"/>
      <c r="AL58" s="599"/>
      <c r="AM58" s="1854"/>
    </row>
    <row customHeight="1" ht="15">
      <c r="A59" s="427"/>
      <c r="B59" s="427"/>
      <c r="C59" s="180"/>
      <c r="D59" s="1824"/>
      <c r="E59" s="1824"/>
      <c r="F59" s="1824"/>
      <c r="G59" s="2578"/>
      <c r="H59" s="2120"/>
      <c r="I59" s="2579"/>
      <c r="J59" s="2124"/>
      <c r="K59" s="425"/>
      <c r="L59" s="181"/>
      <c r="M59" s="611" t="s">
        <v>199</v>
      </c>
      <c r="N59" s="608"/>
      <c r="O59" s="608"/>
      <c r="P59" s="608"/>
      <c r="Q59" s="608"/>
      <c r="R59" s="608"/>
      <c r="S59" s="608"/>
      <c r="T59" s="608"/>
      <c r="U59" s="609"/>
      <c r="V59" s="608"/>
      <c r="W59" s="608"/>
      <c r="X59" s="599"/>
      <c r="Y59" s="599"/>
      <c r="Z59" s="599"/>
      <c r="AA59" s="599"/>
      <c r="AB59" s="599"/>
      <c r="AC59" s="599"/>
      <c r="AD59" s="599"/>
      <c r="AE59" s="599"/>
      <c r="AF59" s="599"/>
      <c r="AG59" s="599"/>
      <c r="AH59" s="599"/>
      <c r="AI59" s="599"/>
      <c r="AJ59" s="599"/>
      <c r="AK59" s="599"/>
      <c r="AL59" s="599"/>
      <c r="AM59" s="1854"/>
    </row>
    <row customHeight="1" ht="15">
      <c r="A60" s="427"/>
      <c r="B60" s="427"/>
      <c r="C60" s="180"/>
      <c r="D60" s="1824"/>
      <c r="E60" s="1824"/>
      <c r="F60" s="1824"/>
      <c r="G60" s="2578" t="s">
        <v>103</v>
      </c>
      <c r="H60" s="2120"/>
      <c r="I60" s="2579" t="str">
        <f>IF(U60="","",INDEX(TERRITORY_MR_LIST,MATCH(U60,TERRITORY_LIST_ID,0)))</f>
        <v>Территория 11</v>
      </c>
      <c r="J60" s="2124" t="s">
        <v>64</v>
      </c>
      <c r="K60" s="836"/>
      <c r="L60" s="1785" t="s">
        <v>105</v>
      </c>
      <c r="M60" s="2649" t="s">
        <v>245</v>
      </c>
      <c r="N60" s="608"/>
      <c r="O60" s="608" t="s">
        <v>246</v>
      </c>
      <c r="P60" s="608" t="str">
        <f>$E$52</f>
        <v>Подключение (технологическое присоединение) к централизованной системе водоснабжения</v>
      </c>
      <c r="Q60" s="608" t="str">
        <f>IF($F$60="нет","без дифференциации",$I$60)</f>
        <v>Территория 11</v>
      </c>
      <c r="R60" s="608" t="str">
        <f>IF($J$60="нет","без дифференциации",$M$60)</f>
        <v>Дальнереченский ГО</v>
      </c>
      <c r="S60" s="608"/>
      <c r="T60" s="608"/>
      <c r="U60" s="609" t="s">
        <v>162</v>
      </c>
      <c r="V60" s="608"/>
      <c r="W60" s="608"/>
      <c r="X60" s="599"/>
      <c r="Y60" s="599" t="s">
        <v>184</v>
      </c>
      <c r="Z60" s="599">
        <v>1705000</v>
      </c>
      <c r="AA60" s="599"/>
      <c r="AB60" s="599"/>
      <c r="AC60" s="599"/>
      <c r="AD60" s="599"/>
      <c r="AE60" s="599"/>
      <c r="AF60" s="599"/>
      <c r="AG60" s="599"/>
      <c r="AH60" s="599"/>
      <c r="AI60" s="599"/>
      <c r="AJ60" s="599"/>
      <c r="AK60" s="599"/>
      <c r="AL60" s="599"/>
      <c r="AM60" s="1854"/>
    </row>
    <row customHeight="1" ht="15">
      <c r="A61" s="427"/>
      <c r="B61" s="427"/>
      <c r="C61" s="180"/>
      <c r="D61" s="1824"/>
      <c r="E61" s="1824"/>
      <c r="F61" s="1824"/>
      <c r="G61" s="2578"/>
      <c r="H61" s="2120"/>
      <c r="I61" s="2579"/>
      <c r="J61" s="2124"/>
      <c r="K61" s="425"/>
      <c r="L61" s="181"/>
      <c r="M61" s="611" t="s">
        <v>199</v>
      </c>
      <c r="N61" s="608"/>
      <c r="O61" s="608"/>
      <c r="P61" s="608"/>
      <c r="Q61" s="608"/>
      <c r="R61" s="608"/>
      <c r="S61" s="608"/>
      <c r="T61" s="608"/>
      <c r="U61" s="609"/>
      <c r="V61" s="608"/>
      <c r="W61" s="608"/>
      <c r="X61" s="599"/>
      <c r="Y61" s="599"/>
      <c r="Z61" s="599"/>
      <c r="AA61" s="599"/>
      <c r="AB61" s="599"/>
      <c r="AC61" s="599"/>
      <c r="AD61" s="599"/>
      <c r="AE61" s="599"/>
      <c r="AF61" s="599"/>
      <c r="AG61" s="599"/>
      <c r="AH61" s="599"/>
      <c r="AI61" s="599"/>
      <c r="AJ61" s="599"/>
      <c r="AK61" s="599"/>
      <c r="AL61" s="599"/>
      <c r="AM61" s="1854"/>
    </row>
    <row customHeight="1" ht="21.75">
      <c r="A62" s="427"/>
      <c r="B62" s="427"/>
      <c r="C62" s="180"/>
      <c r="D62" s="1824"/>
      <c r="E62" s="1824"/>
      <c r="F62" s="1824"/>
      <c r="G62" s="2578" t="s">
        <v>103</v>
      </c>
      <c r="H62" s="2120"/>
      <c r="I62" s="2579" t="str">
        <f>IF(U62="","",INDEX(TERRITORY_MR_LIST,MATCH(U62,TERRITORY_LIST_ID,0)))</f>
        <v>Территория 1</v>
      </c>
      <c r="J62" s="2124" t="s">
        <v>64</v>
      </c>
      <c r="K62" s="836"/>
      <c r="L62" s="1785" t="s">
        <v>105</v>
      </c>
      <c r="M62" s="2649" t="s">
        <v>247</v>
      </c>
      <c r="N62" s="608"/>
      <c r="O62" s="608" t="s">
        <v>248</v>
      </c>
      <c r="P62" s="608" t="str">
        <f>$E$52</f>
        <v>Подключение (технологическое присоединение) к централизованной системе водоснабжения</v>
      </c>
      <c r="Q62" s="608" t="str">
        <f>IF($F$62="нет","без дифференциации",$I$62)</f>
        <v>Территория 1</v>
      </c>
      <c r="R62" s="608" t="str">
        <f>IF($J$62="нет","без дифференциации",$M$62)</f>
        <v>пгт Посьет Хасанский муниципальный округ</v>
      </c>
      <c r="S62" s="608"/>
      <c r="T62" s="608"/>
      <c r="U62" s="609" t="s">
        <v>97</v>
      </c>
      <c r="V62" s="608"/>
      <c r="W62" s="608"/>
      <c r="X62" s="599"/>
      <c r="Y62" s="599" t="s">
        <v>184</v>
      </c>
      <c r="Z62" s="599">
        <v>1705000</v>
      </c>
      <c r="AA62" s="599"/>
      <c r="AB62" s="599"/>
      <c r="AC62" s="599"/>
      <c r="AD62" s="599"/>
      <c r="AE62" s="599"/>
      <c r="AF62" s="599"/>
      <c r="AG62" s="599"/>
      <c r="AH62" s="599"/>
      <c r="AI62" s="599"/>
      <c r="AJ62" s="599"/>
      <c r="AK62" s="599"/>
      <c r="AL62" s="599"/>
      <c r="AM62" s="1854"/>
    </row>
    <row customHeight="1" ht="15.75">
      <c r="A63" s="427"/>
      <c r="B63" s="427"/>
      <c r="C63" s="180"/>
      <c r="D63" s="1824"/>
      <c r="E63" s="1824"/>
      <c r="F63" s="1824"/>
      <c r="G63" s="2578"/>
      <c r="H63" s="2120"/>
      <c r="I63" s="2579"/>
      <c r="J63" s="2124"/>
      <c r="K63" s="425"/>
      <c r="L63" s="181"/>
      <c r="M63" s="611" t="s">
        <v>199</v>
      </c>
      <c r="N63" s="608"/>
      <c r="O63" s="608"/>
      <c r="P63" s="608"/>
      <c r="Q63" s="608"/>
      <c r="R63" s="608"/>
      <c r="S63" s="608"/>
      <c r="T63" s="608"/>
      <c r="U63" s="609"/>
      <c r="V63" s="608"/>
      <c r="W63" s="608"/>
      <c r="X63" s="599"/>
      <c r="Y63" s="599"/>
      <c r="Z63" s="599"/>
      <c r="AA63" s="599"/>
      <c r="AB63" s="599"/>
      <c r="AC63" s="599"/>
      <c r="AD63" s="599"/>
      <c r="AE63" s="599"/>
      <c r="AF63" s="599"/>
      <c r="AG63" s="599"/>
      <c r="AH63" s="599"/>
      <c r="AI63" s="599"/>
      <c r="AJ63" s="599"/>
      <c r="AK63" s="599"/>
      <c r="AL63" s="599"/>
      <c r="AM63" s="1854"/>
    </row>
    <row customHeight="1" ht="15">
      <c r="A64" s="427"/>
      <c r="B64" s="427"/>
      <c r="C64" s="180"/>
      <c r="D64" s="2125"/>
      <c r="E64" s="2128"/>
      <c r="F64" s="2124"/>
      <c r="G64" s="425"/>
      <c r="H64" s="181"/>
      <c r="I64" s="584" t="s">
        <v>236</v>
      </c>
      <c r="J64" s="181"/>
      <c r="K64" s="181"/>
      <c r="L64" s="181"/>
      <c r="M64" s="612"/>
      <c r="N64" s="608"/>
      <c r="O64" s="608"/>
      <c r="P64" s="608"/>
      <c r="Q64" s="608"/>
      <c r="R64" s="608"/>
      <c r="S64" s="608"/>
      <c r="T64" s="608"/>
      <c r="U64" s="609"/>
      <c r="V64" s="608"/>
      <c r="W64" s="608"/>
      <c r="X64" s="599"/>
      <c r="Y64" s="599"/>
      <c r="Z64" s="599"/>
      <c r="AA64" s="599"/>
      <c r="AB64" s="599"/>
      <c r="AC64" s="599"/>
      <c r="AD64" s="599"/>
      <c r="AE64" s="599"/>
      <c r="AF64" s="599"/>
      <c r="AG64" s="599"/>
      <c r="AH64" s="599"/>
      <c r="AI64" s="599"/>
      <c r="AJ64" s="599"/>
      <c r="AK64" s="599"/>
      <c r="AL64" s="599"/>
      <c r="AM64" s="1854"/>
    </row>
    <row customHeight="1" ht="24">
      <c r="A65" s="427"/>
      <c r="B65" s="427"/>
      <c r="C65" s="1731" t="s">
        <v>103</v>
      </c>
      <c r="D65" s="2125" t="s">
        <v>89</v>
      </c>
      <c r="E65" s="2126" t="str">
        <f>INDEX(VD_NAME_LIST,MATCH("4189672",VD_ID_LIST,0))</f>
        <v>Холодное водоснабжение. Техническая вода</v>
      </c>
      <c r="F65" s="2124" t="s">
        <v>64</v>
      </c>
      <c r="G65" s="2574"/>
      <c r="H65" s="2144"/>
      <c r="I65" s="2650" t="str">
        <f>IF($U$65="","",INDEX(TERRITORY_MR_LIST,MATCH($U$65,TERRITORY_LIST_ID,0)))</f>
        <v>Территория 9</v>
      </c>
      <c r="J65" s="2124" t="s">
        <v>64</v>
      </c>
      <c r="K65" s="836"/>
      <c r="L65" s="1785" t="s">
        <v>105</v>
      </c>
      <c r="M65" s="2649" t="s">
        <v>249</v>
      </c>
      <c r="N65" s="608"/>
      <c r="O65" s="608" t="s">
        <v>250</v>
      </c>
      <c r="P65" s="608" t="str">
        <f>$E$65</f>
        <v>Холодное водоснабжение. Техническая вода</v>
      </c>
      <c r="Q65" s="608" t="str">
        <f>IF($F$65="нет","без дифференциации",$I$65)</f>
        <v>Территория 9</v>
      </c>
      <c r="R65" s="608" t="str">
        <f>IF($J$65="нет","без дифференциации",$M$65)</f>
        <v> Городской округ Спасск-Дальний, Городской округ Спасск-Дальний (05720000)</v>
      </c>
      <c r="S65" s="608"/>
      <c r="T65" s="608"/>
      <c r="U65" s="609" t="s">
        <v>149</v>
      </c>
      <c r="V65" s="608" t="s">
        <v>251</v>
      </c>
      <c r="W65" s="608"/>
      <c r="X65" s="599"/>
      <c r="Y65" s="599" t="s">
        <v>184</v>
      </c>
      <c r="Z65" s="599">
        <v>1705000</v>
      </c>
      <c r="AA65" s="599"/>
      <c r="AB65" s="599"/>
      <c r="AC65" s="599"/>
      <c r="AD65" s="599"/>
      <c r="AE65" s="599"/>
      <c r="AF65" s="599"/>
      <c r="AG65" s="599"/>
      <c r="AH65" s="599"/>
      <c r="AI65" s="599"/>
      <c r="AJ65" s="599"/>
      <c r="AK65" s="599"/>
      <c r="AL65" s="599"/>
      <c r="AM65" s="1854"/>
    </row>
    <row customHeight="1" ht="9.75">
      <c r="A66" s="427"/>
      <c r="B66" s="427"/>
      <c r="C66" s="180"/>
      <c r="D66" s="2125"/>
      <c r="E66" s="2127"/>
      <c r="F66" s="2124"/>
      <c r="G66" s="2575"/>
      <c r="H66" s="2144"/>
      <c r="I66" s="2651" t="str">
        <f>IF($U$65="","",INDEX(TERRITORY_MR_LIST,MATCH($U$65,TERRITORY_LIST_ID,0)))</f>
        <v>Территория 9</v>
      </c>
      <c r="J66" s="2124"/>
      <c r="K66" s="425"/>
      <c r="L66" s="181"/>
      <c r="M66" s="611" t="s">
        <v>199</v>
      </c>
      <c r="N66" s="608"/>
      <c r="O66" s="608"/>
      <c r="P66" s="608"/>
      <c r="Q66" s="608"/>
      <c r="R66" s="608"/>
      <c r="S66" s="608"/>
      <c r="T66" s="608"/>
      <c r="U66" s="609"/>
      <c r="V66" s="608"/>
      <c r="W66" s="608"/>
      <c r="X66" s="599"/>
      <c r="Y66" s="599"/>
      <c r="Z66" s="599"/>
      <c r="AA66" s="599"/>
      <c r="AB66" s="599"/>
      <c r="AC66" s="599"/>
      <c r="AD66" s="599"/>
      <c r="AE66" s="599"/>
      <c r="AF66" s="599"/>
      <c r="AG66" s="599"/>
      <c r="AH66" s="599"/>
      <c r="AI66" s="599"/>
      <c r="AJ66" s="599"/>
      <c r="AK66" s="599"/>
      <c r="AL66" s="599"/>
      <c r="AM66" s="1854"/>
    </row>
    <row customHeight="1" ht="15">
      <c r="A67" s="427"/>
      <c r="B67" s="427"/>
      <c r="C67" s="180"/>
      <c r="D67" s="2125"/>
      <c r="E67" s="2128"/>
      <c r="F67" s="2124"/>
      <c r="G67" s="425"/>
      <c r="H67" s="181"/>
      <c r="I67" s="584" t="s">
        <v>236</v>
      </c>
      <c r="J67" s="181"/>
      <c r="K67" s="181"/>
      <c r="L67" s="181"/>
      <c r="M67" s="612"/>
      <c r="N67" s="608"/>
      <c r="O67" s="608"/>
      <c r="P67" s="608"/>
      <c r="Q67" s="608"/>
      <c r="R67" s="608"/>
      <c r="S67" s="608"/>
      <c r="T67" s="608"/>
      <c r="U67" s="609"/>
      <c r="V67" s="608"/>
      <c r="W67" s="608"/>
      <c r="X67" s="599"/>
      <c r="Y67" s="599"/>
      <c r="Z67" s="599"/>
      <c r="AA67" s="599"/>
      <c r="AB67" s="599"/>
      <c r="AC67" s="599"/>
      <c r="AD67" s="599"/>
      <c r="AE67" s="599"/>
      <c r="AF67" s="599"/>
      <c r="AG67" s="599"/>
      <c r="AH67" s="599"/>
      <c r="AI67" s="599"/>
      <c r="AJ67" s="599"/>
      <c r="AK67" s="599"/>
      <c r="AL67" s="599"/>
      <c r="AM67" s="1854"/>
    </row>
    <row customHeight="1" ht="25">
      <c r="A68" s="427"/>
      <c r="B68" s="427"/>
      <c r="C68" s="1731" t="s">
        <v>103</v>
      </c>
      <c r="D68" s="2125" t="s">
        <v>90</v>
      </c>
      <c r="E68" s="2126" t="str">
        <f>INDEX(VD_NAME_LIST,MATCH("4189673",VD_ID_LIST,0))</f>
        <v>Холодное водоснабжение. Подвозная вода</v>
      </c>
      <c r="F68" s="2124" t="s">
        <v>64</v>
      </c>
      <c r="G68" s="2574"/>
      <c r="H68" s="2144">
        <v>1</v>
      </c>
      <c r="I68" s="2650" t="str">
        <f>IF($U$68="","",INDEX(TERRITORY_MR_LIST,MATCH($U$68,TERRITORY_LIST_ID,0)))</f>
        <v>Территория 2</v>
      </c>
      <c r="J68" s="2124" t="s">
        <v>64</v>
      </c>
      <c r="K68" s="836"/>
      <c r="L68" s="1785" t="s">
        <v>105</v>
      </c>
      <c r="M68" s="2649" t="s">
        <v>252</v>
      </c>
      <c r="N68" s="608"/>
      <c r="O68" s="608" t="s">
        <v>253</v>
      </c>
      <c r="P68" s="608" t="str">
        <f>$E$68</f>
        <v>Холодное водоснабжение. Подвозная вода</v>
      </c>
      <c r="Q68" s="608" t="str">
        <f>IF($F$68="нет","без дифференциации",$I$68)</f>
        <v>Территория 2</v>
      </c>
      <c r="R68" s="608" t="str">
        <f>IF($J$68="нет","без дифференциации",$M$68)</f>
        <v>Анучинский муниципальный округ, Анучинский муниципальный округ (05502000)</v>
      </c>
      <c r="S68" s="608"/>
      <c r="T68" s="608"/>
      <c r="U68" s="609" t="s">
        <v>104</v>
      </c>
      <c r="V68" s="608" t="s">
        <v>254</v>
      </c>
      <c r="W68" s="608"/>
      <c r="X68" s="599"/>
      <c r="Y68" s="599" t="s">
        <v>184</v>
      </c>
      <c r="Z68" s="599">
        <v>1705000</v>
      </c>
      <c r="AA68" s="599"/>
      <c r="AB68" s="599"/>
      <c r="AC68" s="599"/>
      <c r="AD68" s="599"/>
      <c r="AE68" s="599"/>
      <c r="AF68" s="599"/>
      <c r="AG68" s="599"/>
      <c r="AH68" s="599"/>
      <c r="AI68" s="599"/>
      <c r="AJ68" s="599"/>
      <c r="AK68" s="599"/>
      <c r="AL68" s="599"/>
      <c r="AM68" s="1854"/>
    </row>
    <row customHeight="1" ht="25">
      <c r="A69" s="427"/>
      <c r="B69" s="427"/>
      <c r="C69" s="180"/>
      <c r="D69" s="2125"/>
      <c r="E69" s="2127"/>
      <c r="F69" s="2124"/>
      <c r="G69" s="2575"/>
      <c r="H69" s="2144"/>
      <c r="I69" s="2651" t="str">
        <f>IF($U$68="","",INDEX(TERRITORY_MR_LIST,MATCH($U$68,TERRITORY_LIST_ID,0)))</f>
        <v>Территория 2</v>
      </c>
      <c r="J69" s="2124"/>
      <c r="K69" s="425"/>
      <c r="L69" s="181"/>
      <c r="M69" s="611" t="s">
        <v>199</v>
      </c>
      <c r="N69" s="608"/>
      <c r="O69" s="608"/>
      <c r="P69" s="608"/>
      <c r="Q69" s="608"/>
      <c r="R69" s="608"/>
      <c r="S69" s="608"/>
      <c r="T69" s="608"/>
      <c r="U69" s="609"/>
      <c r="V69" s="608"/>
      <c r="W69" s="608"/>
      <c r="X69" s="599"/>
      <c r="Y69" s="599"/>
      <c r="Z69" s="599"/>
      <c r="AA69" s="599"/>
      <c r="AB69" s="599"/>
      <c r="AC69" s="599"/>
      <c r="AD69" s="599"/>
      <c r="AE69" s="599"/>
      <c r="AF69" s="599"/>
      <c r="AG69" s="599"/>
      <c r="AH69" s="599"/>
      <c r="AI69" s="599"/>
      <c r="AJ69" s="599"/>
      <c r="AK69" s="599"/>
      <c r="AL69" s="599"/>
      <c r="AM69" s="1854"/>
    </row>
    <row customHeight="1" ht="25">
      <c r="A70" s="427"/>
      <c r="B70" s="427"/>
      <c r="C70" s="180"/>
      <c r="D70" s="1824"/>
      <c r="E70" s="1824"/>
      <c r="F70" s="1824"/>
      <c r="G70" s="2578" t="s">
        <v>103</v>
      </c>
      <c r="H70" s="2120" t="s">
        <v>102</v>
      </c>
      <c r="I70" s="2579" t="str">
        <f>IF(U70="","",INDEX(TERRITORY_MR_LIST,MATCH(U70,TERRITORY_LIST_ID,0)))</f>
        <v>Территория 7</v>
      </c>
      <c r="J70" s="2124" t="s">
        <v>64</v>
      </c>
      <c r="K70" s="836"/>
      <c r="L70" s="1785" t="s">
        <v>105</v>
      </c>
      <c r="M70" s="2649" t="s">
        <v>255</v>
      </c>
      <c r="N70" s="608"/>
      <c r="O70" s="608" t="s">
        <v>256</v>
      </c>
      <c r="P70" s="608" t="str">
        <f>$E$68</f>
        <v>Холодное водоснабжение. Подвозная вода</v>
      </c>
      <c r="Q70" s="608" t="str">
        <f>IF($F$70="нет","без дифференциации",$I$70)</f>
        <v>Территория 7</v>
      </c>
      <c r="R70" s="608" t="str">
        <f>IF($J$70="нет","без дифференциации",$M$70)</f>
        <v>Кавалеровский муниципальный район, Кавалеровкое городское поселение (05610151)</v>
      </c>
      <c r="S70" s="608"/>
      <c r="T70" s="608"/>
      <c r="U70" s="609" t="s">
        <v>129</v>
      </c>
      <c r="V70" s="608"/>
      <c r="W70" s="608"/>
      <c r="X70" s="599"/>
      <c r="Y70" s="599" t="s">
        <v>184</v>
      </c>
      <c r="Z70" s="599">
        <v>1705000</v>
      </c>
      <c r="AA70" s="599"/>
      <c r="AB70" s="599"/>
      <c r="AC70" s="599"/>
      <c r="AD70" s="599"/>
      <c r="AE70" s="599"/>
      <c r="AF70" s="599"/>
      <c r="AG70" s="599"/>
      <c r="AH70" s="599"/>
      <c r="AI70" s="599"/>
      <c r="AJ70" s="599"/>
      <c r="AK70" s="599"/>
      <c r="AL70" s="599"/>
      <c r="AM70" s="1854"/>
    </row>
    <row customHeight="1" ht="25">
      <c r="A71" s="427"/>
      <c r="B71" s="427"/>
      <c r="C71" s="180"/>
      <c r="D71" s="1824"/>
      <c r="E71" s="1824"/>
      <c r="F71" s="1824"/>
      <c r="G71" s="2578"/>
      <c r="H71" s="2120"/>
      <c r="I71" s="2579"/>
      <c r="J71" s="2124"/>
      <c r="K71" s="425"/>
      <c r="L71" s="181"/>
      <c r="M71" s="611" t="s">
        <v>199</v>
      </c>
      <c r="N71" s="608"/>
      <c r="O71" s="608"/>
      <c r="P71" s="608"/>
      <c r="Q71" s="608"/>
      <c r="R71" s="608"/>
      <c r="S71" s="608"/>
      <c r="T71" s="608"/>
      <c r="U71" s="609"/>
      <c r="V71" s="608"/>
      <c r="W71" s="608"/>
      <c r="X71" s="599"/>
      <c r="Y71" s="599"/>
      <c r="Z71" s="599"/>
      <c r="AA71" s="599"/>
      <c r="AB71" s="599"/>
      <c r="AC71" s="599"/>
      <c r="AD71" s="599"/>
      <c r="AE71" s="599"/>
      <c r="AF71" s="599"/>
      <c r="AG71" s="599"/>
      <c r="AH71" s="599"/>
      <c r="AI71" s="599"/>
      <c r="AJ71" s="599"/>
      <c r="AK71" s="599"/>
      <c r="AL71" s="599"/>
      <c r="AM71" s="1854"/>
    </row>
    <row customHeight="1" ht="25">
      <c r="A72" s="427"/>
      <c r="B72" s="427"/>
      <c r="C72" s="180"/>
      <c r="D72" s="1824"/>
      <c r="E72" s="1824"/>
      <c r="F72" s="1824"/>
      <c r="G72" s="2578" t="s">
        <v>103</v>
      </c>
      <c r="H72" s="2120" t="s">
        <v>89</v>
      </c>
      <c r="I72" s="2579" t="str">
        <f>IF(U72="","",INDEX(TERRITORY_MR_LIST,MATCH(U72,TERRITORY_LIST_ID,0)))</f>
        <v>Территория 5</v>
      </c>
      <c r="J72" s="2124" t="s">
        <v>64</v>
      </c>
      <c r="K72" s="836"/>
      <c r="L72" s="1785" t="s">
        <v>105</v>
      </c>
      <c r="M72" s="2649" t="s">
        <v>257</v>
      </c>
      <c r="N72" s="608"/>
      <c r="O72" s="608" t="s">
        <v>258</v>
      </c>
      <c r="P72" s="608" t="str">
        <f>$E$68</f>
        <v>Холодное водоснабжение. Подвозная вода</v>
      </c>
      <c r="Q72" s="608" t="str">
        <f>IF($F$72="нет","без дифференциации",$I$72)</f>
        <v>Территория 5</v>
      </c>
      <c r="R72" s="608" t="str">
        <f>IF($J$72="нет","без дифференциации",$M$72)</f>
        <v> Михайловский муниципальный район, Новошахтинское городское поселение (05620154)</v>
      </c>
      <c r="S72" s="608"/>
      <c r="T72" s="608"/>
      <c r="U72" s="609" t="s">
        <v>121</v>
      </c>
      <c r="V72" s="608"/>
      <c r="W72" s="608"/>
      <c r="X72" s="599"/>
      <c r="Y72" s="599" t="s">
        <v>184</v>
      </c>
      <c r="Z72" s="599">
        <v>1705000</v>
      </c>
      <c r="AA72" s="599"/>
      <c r="AB72" s="599"/>
      <c r="AC72" s="599"/>
      <c r="AD72" s="599"/>
      <c r="AE72" s="599"/>
      <c r="AF72" s="599"/>
      <c r="AG72" s="599"/>
      <c r="AH72" s="599"/>
      <c r="AI72" s="599"/>
      <c r="AJ72" s="599"/>
      <c r="AK72" s="599"/>
      <c r="AL72" s="599"/>
      <c r="AM72" s="1854"/>
    </row>
    <row customHeight="1" ht="25">
      <c r="A73" s="427"/>
      <c r="B73" s="427"/>
      <c r="C73" s="180"/>
      <c r="D73" s="1824"/>
      <c r="E73" s="1824"/>
      <c r="F73" s="1824"/>
      <c r="G73" s="2578"/>
      <c r="H73" s="2120"/>
      <c r="I73" s="2579"/>
      <c r="J73" s="2124"/>
      <c r="K73" s="425"/>
      <c r="L73" s="181"/>
      <c r="M73" s="611" t="s">
        <v>199</v>
      </c>
      <c r="N73" s="608"/>
      <c r="O73" s="608"/>
      <c r="P73" s="608"/>
      <c r="Q73" s="608"/>
      <c r="R73" s="608"/>
      <c r="S73" s="608"/>
      <c r="T73" s="608"/>
      <c r="U73" s="609"/>
      <c r="V73" s="608"/>
      <c r="W73" s="608"/>
      <c r="X73" s="599"/>
      <c r="Y73" s="599"/>
      <c r="Z73" s="599"/>
      <c r="AA73" s="599"/>
      <c r="AB73" s="599"/>
      <c r="AC73" s="599"/>
      <c r="AD73" s="599"/>
      <c r="AE73" s="599"/>
      <c r="AF73" s="599"/>
      <c r="AG73" s="599"/>
      <c r="AH73" s="599"/>
      <c r="AI73" s="599"/>
      <c r="AJ73" s="599"/>
      <c r="AK73" s="599"/>
      <c r="AL73" s="599"/>
      <c r="AM73" s="1854"/>
    </row>
    <row customHeight="1" ht="25">
      <c r="A74" s="427"/>
      <c r="B74" s="427"/>
      <c r="C74" s="180"/>
      <c r="D74" s="1824"/>
      <c r="E74" s="1824"/>
      <c r="F74" s="1824"/>
      <c r="G74" s="2578" t="s">
        <v>103</v>
      </c>
      <c r="H74" s="2120" t="s">
        <v>90</v>
      </c>
      <c r="I74" s="2579" t="str">
        <f>IF(U74="","",INDEX(TERRITORY_MR_LIST,MATCH(U74,TERRITORY_LIST_ID,0)))</f>
        <v>Территория 4</v>
      </c>
      <c r="J74" s="2124" t="s">
        <v>64</v>
      </c>
      <c r="K74" s="836"/>
      <c r="L74" s="1785" t="s">
        <v>105</v>
      </c>
      <c r="M74" s="2649" t="s">
        <v>259</v>
      </c>
      <c r="N74" s="608"/>
      <c r="O74" s="608" t="s">
        <v>260</v>
      </c>
      <c r="P74" s="608" t="str">
        <f>$E$68</f>
        <v>Холодное водоснабжение. Подвозная вода</v>
      </c>
      <c r="Q74" s="608" t="str">
        <f>IF($F$74="нет","без дифференциации",$I$74)</f>
        <v>Территория 4</v>
      </c>
      <c r="R74" s="608" t="str">
        <f>IF($J$74="нет","без дифференциации",$M$74)</f>
        <v>Городской округ ЗАТО г.Фокино (пгт. Путятин)</v>
      </c>
      <c r="S74" s="608"/>
      <c r="T74" s="608"/>
      <c r="U74" s="609" t="s">
        <v>116</v>
      </c>
      <c r="V74" s="608"/>
      <c r="W74" s="608"/>
      <c r="X74" s="599"/>
      <c r="Y74" s="599" t="s">
        <v>184</v>
      </c>
      <c r="Z74" s="599">
        <v>1705000</v>
      </c>
      <c r="AA74" s="599"/>
      <c r="AB74" s="599"/>
      <c r="AC74" s="599"/>
      <c r="AD74" s="599"/>
      <c r="AE74" s="599"/>
      <c r="AF74" s="599"/>
      <c r="AG74" s="599"/>
      <c r="AH74" s="599"/>
      <c r="AI74" s="599"/>
      <c r="AJ74" s="599"/>
      <c r="AK74" s="599"/>
      <c r="AL74" s="599"/>
      <c r="AM74" s="1854"/>
    </row>
    <row customHeight="1" ht="25">
      <c r="A75" s="427"/>
      <c r="B75" s="427"/>
      <c r="C75" s="180"/>
      <c r="D75" s="1824"/>
      <c r="E75" s="1824"/>
      <c r="F75" s="1824"/>
      <c r="G75" s="2578"/>
      <c r="H75" s="2120"/>
      <c r="I75" s="2579"/>
      <c r="J75" s="2124"/>
      <c r="K75" s="425"/>
      <c r="L75" s="181"/>
      <c r="M75" s="611" t="s">
        <v>199</v>
      </c>
      <c r="N75" s="608"/>
      <c r="O75" s="608"/>
      <c r="P75" s="608"/>
      <c r="Q75" s="608"/>
      <c r="R75" s="608"/>
      <c r="S75" s="608"/>
      <c r="T75" s="608"/>
      <c r="U75" s="609"/>
      <c r="V75" s="608"/>
      <c r="W75" s="608"/>
      <c r="X75" s="599"/>
      <c r="Y75" s="599"/>
      <c r="Z75" s="599"/>
      <c r="AA75" s="599"/>
      <c r="AB75" s="599"/>
      <c r="AC75" s="599"/>
      <c r="AD75" s="599"/>
      <c r="AE75" s="599"/>
      <c r="AF75" s="599"/>
      <c r="AG75" s="599"/>
      <c r="AH75" s="599"/>
      <c r="AI75" s="599"/>
      <c r="AJ75" s="599"/>
      <c r="AK75" s="599"/>
      <c r="AL75" s="599"/>
      <c r="AM75" s="1854"/>
    </row>
    <row customHeight="1" ht="25">
      <c r="A76" s="427"/>
      <c r="B76" s="427"/>
      <c r="C76" s="180"/>
      <c r="D76" s="1824"/>
      <c r="E76" s="1824"/>
      <c r="F76" s="1824"/>
      <c r="G76" s="2578" t="s">
        <v>103</v>
      </c>
      <c r="H76" s="2120" t="s">
        <v>120</v>
      </c>
      <c r="I76" s="2579" t="str">
        <f>IF(U76="","",INDEX(TERRITORY_MR_LIST,MATCH(U76,TERRITORY_LIST_ID,0)))</f>
        <v>Территория 8</v>
      </c>
      <c r="J76" s="2124" t="s">
        <v>64</v>
      </c>
      <c r="K76" s="836"/>
      <c r="L76" s="1785" t="s">
        <v>105</v>
      </c>
      <c r="M76" s="2649" t="s">
        <v>261</v>
      </c>
      <c r="N76" s="608"/>
      <c r="O76" s="608" t="s">
        <v>262</v>
      </c>
      <c r="P76" s="608" t="str">
        <f>$E$68</f>
        <v>Холодное водоснабжение. Подвозная вода</v>
      </c>
      <c r="Q76" s="608" t="str">
        <f>IF($F$76="нет","без дифференциации",$I$76)</f>
        <v>Территория 8</v>
      </c>
      <c r="R76" s="608" t="str">
        <f>IF($J$76="нет","без дифференциации",$M$76)</f>
        <v> Черниговский муниципальный район, Черниговское сельское поселение (05653425)</v>
      </c>
      <c r="S76" s="608"/>
      <c r="T76" s="608"/>
      <c r="U76" s="609" t="s">
        <v>134</v>
      </c>
      <c r="V76" s="608"/>
      <c r="W76" s="608"/>
      <c r="X76" s="599"/>
      <c r="Y76" s="599" t="s">
        <v>184</v>
      </c>
      <c r="Z76" s="599">
        <v>1705000</v>
      </c>
      <c r="AA76" s="599"/>
      <c r="AB76" s="599"/>
      <c r="AC76" s="599"/>
      <c r="AD76" s="599"/>
      <c r="AE76" s="599"/>
      <c r="AF76" s="599"/>
      <c r="AG76" s="599"/>
      <c r="AH76" s="599"/>
      <c r="AI76" s="599"/>
      <c r="AJ76" s="599"/>
      <c r="AK76" s="599"/>
      <c r="AL76" s="599"/>
      <c r="AM76" s="1854"/>
    </row>
    <row customHeight="1" ht="25">
      <c r="A77" s="427"/>
      <c r="B77" s="427"/>
      <c r="C77" s="180"/>
      <c r="D77" s="1824"/>
      <c r="E77" s="1824"/>
      <c r="F77" s="1824"/>
      <c r="G77" s="2578"/>
      <c r="H77" s="2120"/>
      <c r="I77" s="2579"/>
      <c r="J77" s="2124"/>
      <c r="K77" s="425"/>
      <c r="L77" s="181"/>
      <c r="M77" s="611" t="s">
        <v>199</v>
      </c>
      <c r="N77" s="608"/>
      <c r="O77" s="608"/>
      <c r="P77" s="608"/>
      <c r="Q77" s="608"/>
      <c r="R77" s="608"/>
      <c r="S77" s="608"/>
      <c r="T77" s="608"/>
      <c r="U77" s="609"/>
      <c r="V77" s="608"/>
      <c r="W77" s="608"/>
      <c r="X77" s="599"/>
      <c r="Y77" s="599"/>
      <c r="Z77" s="599"/>
      <c r="AA77" s="599"/>
      <c r="AB77" s="599"/>
      <c r="AC77" s="599"/>
      <c r="AD77" s="599"/>
      <c r="AE77" s="599"/>
      <c r="AF77" s="599"/>
      <c r="AG77" s="599"/>
      <c r="AH77" s="599"/>
      <c r="AI77" s="599"/>
      <c r="AJ77" s="599"/>
      <c r="AK77" s="599"/>
      <c r="AL77" s="599"/>
      <c r="AM77" s="1854"/>
    </row>
    <row customHeight="1" ht="25">
      <c r="A78" s="427"/>
      <c r="B78" s="427"/>
      <c r="C78" s="180"/>
      <c r="D78" s="1824"/>
      <c r="E78" s="1824"/>
      <c r="F78" s="1824"/>
      <c r="G78" s="2578" t="s">
        <v>103</v>
      </c>
      <c r="H78" s="2120" t="s">
        <v>91</v>
      </c>
      <c r="I78" s="2579" t="str">
        <f>IF(U78="","",INDEX(TERRITORY_MR_LIST,MATCH(U78,TERRITORY_LIST_ID,0)))</f>
        <v>Территория 6</v>
      </c>
      <c r="J78" s="2124" t="s">
        <v>64</v>
      </c>
      <c r="K78" s="836"/>
      <c r="L78" s="1785" t="s">
        <v>105</v>
      </c>
      <c r="M78" s="2649" t="s">
        <v>263</v>
      </c>
      <c r="N78" s="608"/>
      <c r="O78" s="608" t="s">
        <v>264</v>
      </c>
      <c r="P78" s="608" t="str">
        <f>$E$68</f>
        <v>Холодное водоснабжение. Подвозная вода</v>
      </c>
      <c r="Q78" s="608" t="str">
        <f>IF($F$78="нет","без дифференциации",$I$78)</f>
        <v>Территория 6</v>
      </c>
      <c r="R78" s="608" t="str">
        <f>IF($J$78="нет","без дифференциации",$M$78)</f>
        <v> Дальнегорский городской округ, Дальнегорский городской округ (05707000)</v>
      </c>
      <c r="S78" s="608"/>
      <c r="T78" s="608"/>
      <c r="U78" s="609" t="s">
        <v>126</v>
      </c>
      <c r="V78" s="608"/>
      <c r="W78" s="608"/>
      <c r="X78" s="599"/>
      <c r="Y78" s="599" t="s">
        <v>184</v>
      </c>
      <c r="Z78" s="599">
        <v>1705000</v>
      </c>
      <c r="AA78" s="599"/>
      <c r="AB78" s="599"/>
      <c r="AC78" s="599"/>
      <c r="AD78" s="599"/>
      <c r="AE78" s="599"/>
      <c r="AF78" s="599"/>
      <c r="AG78" s="599"/>
      <c r="AH78" s="599"/>
      <c r="AI78" s="599"/>
      <c r="AJ78" s="599"/>
      <c r="AK78" s="599"/>
      <c r="AL78" s="599"/>
      <c r="AM78" s="1854"/>
    </row>
    <row customHeight="1" ht="15">
      <c r="A79" s="427"/>
      <c r="B79" s="427"/>
      <c r="C79" s="180"/>
      <c r="D79" s="1824"/>
      <c r="E79" s="1824"/>
      <c r="F79" s="1824"/>
      <c r="G79" s="2578"/>
      <c r="H79" s="2120"/>
      <c r="I79" s="2579"/>
      <c r="J79" s="2124"/>
      <c r="K79" s="425"/>
      <c r="L79" s="181"/>
      <c r="M79" s="611" t="s">
        <v>199</v>
      </c>
      <c r="N79" s="608"/>
      <c r="O79" s="608"/>
      <c r="P79" s="608"/>
      <c r="Q79" s="608"/>
      <c r="R79" s="608"/>
      <c r="S79" s="608"/>
      <c r="T79" s="608"/>
      <c r="U79" s="609"/>
      <c r="V79" s="608"/>
      <c r="W79" s="608"/>
      <c r="X79" s="599"/>
      <c r="Y79" s="599"/>
      <c r="Z79" s="599"/>
      <c r="AA79" s="599"/>
      <c r="AB79" s="599"/>
      <c r="AC79" s="599"/>
      <c r="AD79" s="599"/>
      <c r="AE79" s="599"/>
      <c r="AF79" s="599"/>
      <c r="AG79" s="599"/>
      <c r="AH79" s="599"/>
      <c r="AI79" s="599"/>
      <c r="AJ79" s="599"/>
      <c r="AK79" s="599"/>
      <c r="AL79" s="599"/>
      <c r="AM79" s="1854"/>
    </row>
    <row customHeight="1" ht="15">
      <c r="A80" s="427"/>
      <c r="B80" s="427"/>
      <c r="C80" s="180"/>
      <c r="D80" s="2125"/>
      <c r="E80" s="2128"/>
      <c r="F80" s="2124"/>
      <c r="G80" s="425"/>
      <c r="H80" s="181"/>
      <c r="I80" s="584" t="s">
        <v>236</v>
      </c>
      <c r="J80" s="181"/>
      <c r="K80" s="181"/>
      <c r="L80" s="181"/>
      <c r="M80" s="612"/>
      <c r="N80" s="608"/>
      <c r="O80" s="608"/>
      <c r="P80" s="608"/>
      <c r="Q80" s="608"/>
      <c r="R80" s="608"/>
      <c r="S80" s="608"/>
      <c r="T80" s="608"/>
      <c r="U80" s="609"/>
      <c r="V80" s="608"/>
      <c r="W80" s="608"/>
      <c r="X80" s="599"/>
      <c r="Y80" s="599"/>
      <c r="Z80" s="599"/>
      <c r="AA80" s="599"/>
      <c r="AB80" s="599"/>
      <c r="AC80" s="599"/>
      <c r="AD80" s="599"/>
      <c r="AE80" s="599"/>
      <c r="AF80" s="599"/>
      <c r="AG80" s="599"/>
      <c r="AH80" s="599"/>
      <c r="AI80" s="599"/>
      <c r="AJ80" s="599"/>
      <c r="AK80" s="599"/>
      <c r="AL80" s="599"/>
      <c r="AM80" s="1854"/>
    </row>
    <row customHeight="1" ht="15.75">
      <c r="A81" s="613"/>
      <c r="B81" s="139"/>
      <c r="C81" s="810"/>
      <c r="D81" s="425"/>
      <c r="E81" s="575" t="s">
        <v>265</v>
      </c>
      <c r="F81" s="181"/>
      <c r="G81" s="181"/>
      <c r="H81" s="181"/>
      <c r="I81" s="181"/>
      <c r="J81" s="181"/>
      <c r="K81" s="181" t="s">
        <v>22</v>
      </c>
      <c r="L81" s="181"/>
      <c r="M81" s="612"/>
      <c r="N81" s="1631"/>
      <c r="AM81" s="587">
        <v>15</v>
      </c>
    </row>
    <row customHeight="1" ht="11.25" hidden="1">
      <c r="A82" s="587" t="s">
        <v>81</v>
      </c>
      <c r="B82" s="587">
        <v>0</v>
      </c>
      <c r="C82" s="587">
        <v>3</v>
      </c>
      <c r="D82" s="587">
        <v>4</v>
      </c>
      <c r="E82" s="587">
        <v>44</v>
      </c>
      <c r="F82" s="587">
        <v>6</v>
      </c>
      <c r="G82" s="587">
        <v>4</v>
      </c>
      <c r="H82" s="587">
        <v>5</v>
      </c>
      <c r="I82" s="587">
        <v>52</v>
      </c>
      <c r="J82" s="587">
        <v>6</v>
      </c>
      <c r="K82" s="587">
        <v>3</v>
      </c>
      <c r="L82" s="587">
        <v>6</v>
      </c>
      <c r="M82" s="587">
        <v>56</v>
      </c>
      <c r="N82" s="588">
        <v>8</v>
      </c>
      <c r="O82" s="1417">
        <v>0</v>
      </c>
      <c r="P82" s="1417">
        <v>0</v>
      </c>
      <c r="Q82" s="1417">
        <v>0</v>
      </c>
      <c r="R82" s="1417">
        <v>0</v>
      </c>
      <c r="S82" s="1417">
        <v>0</v>
      </c>
      <c r="T82" s="1417">
        <v>0</v>
      </c>
      <c r="U82" s="1267">
        <v>0</v>
      </c>
      <c r="V82" s="1267">
        <v>0</v>
      </c>
      <c r="W82" s="1267">
        <v>0</v>
      </c>
      <c r="X82" s="1267">
        <v>0</v>
      </c>
      <c r="Y82" s="588">
        <v>0</v>
      </c>
      <c r="Z82" s="588">
        <v>0</v>
      </c>
      <c r="AA82" s="588">
        <v>0</v>
      </c>
      <c r="AB82" s="588">
        <v>0</v>
      </c>
      <c r="AC82" s="588">
        <v>0</v>
      </c>
      <c r="AD82" s="588">
        <v>0</v>
      </c>
      <c r="AE82" s="588">
        <v>0</v>
      </c>
      <c r="AF82" s="588">
        <v>0</v>
      </c>
      <c r="AG82" s="588">
        <v>0</v>
      </c>
      <c r="AH82" s="588">
        <v>0</v>
      </c>
      <c r="AI82" s="588">
        <v>0</v>
      </c>
      <c r="AJ82" s="588">
        <v>0</v>
      </c>
      <c r="AK82" s="588">
        <v>0</v>
      </c>
      <c r="AL82" s="588">
        <v>8</v>
      </c>
      <c r="AM82" s="587">
        <v>11</v>
      </c>
    </row>
  </sheetData>
  <sheetProtection formatColumns="0" formatRows="0" autoFilter="0" sort="0" insertRows="0" insertColumns="1" deleteRows="0" deleteColumns="0"/>
  <mergeCells count="127">
    <mergeCell ref="G11:H11"/>
    <mergeCell ref="K11:L11"/>
    <mergeCell ref="D4:I4"/>
    <mergeCell ref="D5:I5"/>
    <mergeCell ref="A6:F6"/>
    <mergeCell ref="A9:A10"/>
    <mergeCell ref="D9:E9"/>
    <mergeCell ref="F9:I9"/>
    <mergeCell ref="E7:M7"/>
    <mergeCell ref="J9:M9"/>
    <mergeCell ref="G10:H10"/>
    <mergeCell ref="K10:L10"/>
    <mergeCell ref="I13:I21"/>
    <mergeCell ref="J13:J21"/>
    <mergeCell ref="D13:D51"/>
    <mergeCell ref="E13:E51"/>
    <mergeCell ref="F13:F51"/>
    <mergeCell ref="G13:G21"/>
    <mergeCell ref="H13:H21"/>
    <mergeCell ref="D52:D64"/>
    <mergeCell ref="E52:E64"/>
    <mergeCell ref="F52:F64"/>
    <mergeCell ref="G52:G53"/>
    <mergeCell ref="H52:H53"/>
    <mergeCell ref="I52:I53"/>
    <mergeCell ref="J52:J53"/>
    <mergeCell ref="C52:C64"/>
    <mergeCell ref="D65:D67"/>
    <mergeCell ref="E65:E67"/>
    <mergeCell ref="F65:F67"/>
    <mergeCell ref="G65:G66"/>
    <mergeCell ref="H65:H66"/>
    <mergeCell ref="I65:I66"/>
    <mergeCell ref="J65:J66"/>
    <mergeCell ref="C65:C67"/>
    <mergeCell ref="D68:D80"/>
    <mergeCell ref="E68:E80"/>
    <mergeCell ref="F68:F80"/>
    <mergeCell ref="G68:G69"/>
    <mergeCell ref="H68:H69"/>
    <mergeCell ref="I68:I69"/>
    <mergeCell ref="J68:J69"/>
    <mergeCell ref="C68:C80"/>
    <mergeCell ref="G22:G23"/>
    <mergeCell ref="H22:H23"/>
    <mergeCell ref="I22:I23"/>
    <mergeCell ref="J22:J23"/>
    <mergeCell ref="G24:G26"/>
    <mergeCell ref="H24:H26"/>
    <mergeCell ref="I24:I26"/>
    <mergeCell ref="J24:J26"/>
    <mergeCell ref="G27:G29"/>
    <mergeCell ref="H27:H29"/>
    <mergeCell ref="I27:I29"/>
    <mergeCell ref="J27:J29"/>
    <mergeCell ref="G30:G31"/>
    <mergeCell ref="H30:H31"/>
    <mergeCell ref="I30:I31"/>
    <mergeCell ref="J30:J31"/>
    <mergeCell ref="G32:G33"/>
    <mergeCell ref="H32:H33"/>
    <mergeCell ref="I32:I33"/>
    <mergeCell ref="J32:J33"/>
    <mergeCell ref="G34:G35"/>
    <mergeCell ref="H34:H35"/>
    <mergeCell ref="I34:I35"/>
    <mergeCell ref="J34:J35"/>
    <mergeCell ref="G36:G40"/>
    <mergeCell ref="H36:H40"/>
    <mergeCell ref="I36:I40"/>
    <mergeCell ref="J36:J40"/>
    <mergeCell ref="G41:G43"/>
    <mergeCell ref="H41:H43"/>
    <mergeCell ref="I41:I43"/>
    <mergeCell ref="J41:J43"/>
    <mergeCell ref="G44:G45"/>
    <mergeCell ref="H44:H45"/>
    <mergeCell ref="I44:I45"/>
    <mergeCell ref="J44:J45"/>
    <mergeCell ref="G46:G48"/>
    <mergeCell ref="H46:H48"/>
    <mergeCell ref="I46:I48"/>
    <mergeCell ref="J46:J48"/>
    <mergeCell ref="G49:G50"/>
    <mergeCell ref="H49:H50"/>
    <mergeCell ref="I49:I50"/>
    <mergeCell ref="J49:J50"/>
    <mergeCell ref="G54:G55"/>
    <mergeCell ref="H54:H55"/>
    <mergeCell ref="I54:I55"/>
    <mergeCell ref="J54:J55"/>
    <mergeCell ref="G56:G57"/>
    <mergeCell ref="H56:H57"/>
    <mergeCell ref="I56:I57"/>
    <mergeCell ref="J56:J57"/>
    <mergeCell ref="G58:G59"/>
    <mergeCell ref="H58:H59"/>
    <mergeCell ref="I58:I59"/>
    <mergeCell ref="J58:J59"/>
    <mergeCell ref="G60:G61"/>
    <mergeCell ref="H60:H61"/>
    <mergeCell ref="I60:I61"/>
    <mergeCell ref="J60:J61"/>
    <mergeCell ref="G62:G63"/>
    <mergeCell ref="H62:H63"/>
    <mergeCell ref="I62:I63"/>
    <mergeCell ref="J62:J63"/>
    <mergeCell ref="G70:G71"/>
    <mergeCell ref="H70:H71"/>
    <mergeCell ref="I70:I71"/>
    <mergeCell ref="J70:J71"/>
    <mergeCell ref="G72:G73"/>
    <mergeCell ref="H72:H73"/>
    <mergeCell ref="I72:I73"/>
    <mergeCell ref="J72:J73"/>
    <mergeCell ref="G74:G75"/>
    <mergeCell ref="H74:H75"/>
    <mergeCell ref="I74:I75"/>
    <mergeCell ref="J74:J75"/>
    <mergeCell ref="G76:G77"/>
    <mergeCell ref="H76:H77"/>
    <mergeCell ref="I76:I77"/>
    <mergeCell ref="J76:J77"/>
    <mergeCell ref="G78:G79"/>
    <mergeCell ref="H78:H79"/>
    <mergeCell ref="I78:I79"/>
    <mergeCell ref="J78:J79"/>
  </mergeCells>
  <dataValidations count="5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8">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9">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62">
      <formula1>900</formula1>
    </dataValidation>
    <dataValidation type="textLength" operator="lessThan" allowBlank="1" showInputMessage="1" showErrorMessage="1" error="Допускается ввод не более 900 символов!" sqref="M70">
      <formula1>900</formula1>
    </dataValidation>
    <dataValidation type="textLength" operator="lessThan" allowBlank="1" showInputMessage="1" showErrorMessage="1" error="Допускается ввод не более 900 символов!" sqref="M72">
      <formula1>900</formula1>
    </dataValidation>
    <dataValidation type="textLength" operator="lessThan" allowBlank="1" showInputMessage="1" showErrorMessage="1" error="Допускается ввод не более 900 символов!" sqref="M74">
      <formula1>900</formula1>
    </dataValidation>
    <dataValidation type="textLength" operator="lessThan" allowBlank="1" showInputMessage="1" showErrorMessage="1" error="Допускается ввод не более 900 символов!" sqref="M76">
      <formula1>900</formula1>
    </dataValidation>
    <dataValidation type="textLength" operator="lessThan" allowBlank="1" showInputMessage="1" showErrorMessage="1" error="Допускается ввод не более 900 символов!" sqref="M7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498F-D641-39B2-88C8-C0838627C3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КГУП "Примтеплоэнерго"</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266</v>
      </c>
      <c r="F9" s="2120"/>
      <c r="G9" s="2144" t="s">
        <v>173</v>
      </c>
      <c r="H9" s="2144" t="s">
        <v>87</v>
      </c>
      <c r="I9" s="2144"/>
      <c r="J9" s="2144" t="s">
        <v>267</v>
      </c>
      <c r="K9" s="2172" t="s">
        <v>268</v>
      </c>
      <c r="L9" s="2172"/>
      <c r="M9" s="2172"/>
      <c r="N9" s="2172"/>
      <c r="O9" s="2172" t="s">
        <v>269</v>
      </c>
      <c r="P9" s="2172"/>
      <c r="Q9" s="2172"/>
      <c r="R9" s="2172"/>
      <c r="S9" s="2172" t="s">
        <v>270</v>
      </c>
      <c r="T9" s="2172"/>
      <c r="U9" s="2172"/>
      <c r="V9" s="2172"/>
      <c r="W9" s="2144" t="s">
        <v>271</v>
      </c>
      <c r="AR9" s="108">
        <v>27</v>
      </c>
    </row>
    <row customHeight="1" ht="31.5">
      <c r="D10" s="2144"/>
      <c r="E10" s="1288" t="s">
        <v>88</v>
      </c>
      <c r="F10" s="1288" t="s">
        <v>272</v>
      </c>
      <c r="G10" s="2144"/>
      <c r="H10" s="2144"/>
      <c r="I10" s="2144"/>
      <c r="J10" s="2144"/>
      <c r="K10" s="114" t="s">
        <v>176</v>
      </c>
      <c r="L10" s="2144" t="s">
        <v>87</v>
      </c>
      <c r="M10" s="2144"/>
      <c r="N10" s="114" t="s">
        <v>273</v>
      </c>
      <c r="O10" s="114" t="s">
        <v>176</v>
      </c>
      <c r="P10" s="2144" t="s">
        <v>87</v>
      </c>
      <c r="Q10" s="2144"/>
      <c r="R10" s="114" t="s">
        <v>273</v>
      </c>
      <c r="S10" s="287" t="s">
        <v>176</v>
      </c>
      <c r="T10" s="2144" t="s">
        <v>87</v>
      </c>
      <c r="U10" s="2144"/>
      <c r="V10" s="287" t="s">
        <v>88</v>
      </c>
      <c r="W10" s="2144"/>
      <c r="Z10" s="1263" t="s">
        <v>274</v>
      </c>
      <c r="AA10" s="1263" t="s">
        <v>275</v>
      </c>
      <c r="AB10" s="1263" t="s">
        <v>276</v>
      </c>
      <c r="AC10" s="1263" t="s">
        <v>277</v>
      </c>
      <c r="AD10" s="1263" t="s">
        <v>278</v>
      </c>
      <c r="AE10" s="1263" t="s">
        <v>279</v>
      </c>
      <c r="AF10" s="1263" t="s">
        <v>280</v>
      </c>
      <c r="AG10" s="1263" t="s">
        <v>281</v>
      </c>
      <c r="AH10" s="1263" t="s">
        <v>282</v>
      </c>
      <c r="AI10" s="1263" t="s">
        <v>283</v>
      </c>
      <c r="AJ10" s="1263" t="s">
        <v>284</v>
      </c>
      <c r="AK10" s="1263" t="s">
        <v>285</v>
      </c>
      <c r="AL10" s="1263" t="s">
        <v>286</v>
      </c>
      <c r="AM10" s="1263" t="s">
        <v>287</v>
      </c>
      <c r="AN10" s="1263" t="s">
        <v>288</v>
      </c>
      <c r="AO10" s="1263" t="s">
        <v>289</v>
      </c>
      <c r="AP10" s="1263" t="s">
        <v>290</v>
      </c>
      <c r="AQ10" s="1263" t="s">
        <v>291</v>
      </c>
      <c r="AR10" s="108">
        <v>30</v>
      </c>
    </row>
    <row s="1628" customFormat="1" customHeight="1" ht="12" hidden="1">
      <c r="D11" s="1253" t="s">
        <v>105</v>
      </c>
      <c r="E11" s="1253" t="s">
        <v>102</v>
      </c>
      <c r="F11" s="1253"/>
      <c r="G11" s="1253" t="s">
        <v>89</v>
      </c>
      <c r="H11" s="2173" t="s">
        <v>120</v>
      </c>
      <c r="I11" s="2173"/>
      <c r="J11" s="1253" t="s">
        <v>91</v>
      </c>
      <c r="K11" s="1253" t="s">
        <v>92</v>
      </c>
      <c r="L11" s="2173" t="s">
        <v>133</v>
      </c>
      <c r="M11" s="2173"/>
      <c r="N11" s="1253" t="s">
        <v>148</v>
      </c>
      <c r="O11" s="1253" t="s">
        <v>155</v>
      </c>
      <c r="P11" s="2173" t="s">
        <v>161</v>
      </c>
      <c r="Q11" s="2173"/>
      <c r="R11" s="1253" t="s">
        <v>165</v>
      </c>
      <c r="S11" s="1253" t="s">
        <v>161</v>
      </c>
      <c r="T11" s="2173" t="s">
        <v>165</v>
      </c>
      <c r="U11" s="2173"/>
      <c r="V11" s="1253" t="s">
        <v>292</v>
      </c>
      <c r="W11" s="1253" t="s">
        <v>293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294</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295</v>
      </c>
      <c r="AD13" s="1271" t="s">
        <v>296</v>
      </c>
      <c r="AE13" s="1271" t="s">
        <v>297</v>
      </c>
      <c r="AF13" s="1271" t="s">
        <v>298</v>
      </c>
      <c r="AG13" s="1271" t="s">
        <v>299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300</v>
      </c>
      <c r="AD18" s="1271" t="s">
        <v>301</v>
      </c>
      <c r="AE18" s="1271" t="s">
        <v>302</v>
      </c>
      <c r="AF18" s="1271" t="s">
        <v>303</v>
      </c>
      <c r="AG18" s="1271" t="s">
        <v>304</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305</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300</v>
      </c>
      <c r="AD23" s="1271" t="s">
        <v>301</v>
      </c>
      <c r="AE23" s="1271" t="s">
        <v>302</v>
      </c>
      <c r="AF23" s="1271" t="s">
        <v>303</v>
      </c>
      <c r="AG23" s="1271" t="s">
        <v>304</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306</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307</v>
      </c>
      <c r="AD28" s="1271" t="s">
        <v>308</v>
      </c>
      <c r="AE28" s="1271" t="s">
        <v>309</v>
      </c>
      <c r="AF28" s="1271" t="s">
        <v>310</v>
      </c>
      <c r="AG28" s="1271" t="s">
        <v>311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312</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313</v>
      </c>
      <c r="AD33" s="1271" t="s">
        <v>314</v>
      </c>
      <c r="AE33" s="1271" t="s">
        <v>315</v>
      </c>
      <c r="AF33" s="1271" t="s">
        <v>316</v>
      </c>
      <c r="AG33" s="1271" t="s">
        <v>317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318</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319</v>
      </c>
      <c r="AD38" s="1271" t="s">
        <v>320</v>
      </c>
      <c r="AE38" s="1271" t="s">
        <v>321</v>
      </c>
      <c r="AF38" s="1271" t="s">
        <v>322</v>
      </c>
      <c r="AG38" s="1271" t="s">
        <v>323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324</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325</v>
      </c>
      <c r="AD43" s="1271" t="s">
        <v>326</v>
      </c>
      <c r="AE43" s="1271" t="s">
        <v>327</v>
      </c>
      <c r="AF43" s="1271" t="s">
        <v>328</v>
      </c>
      <c r="AG43" s="1271" t="s">
        <v>329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330</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331</v>
      </c>
      <c r="AD48" s="1271" t="s">
        <v>332</v>
      </c>
      <c r="AE48" s="1271" t="s">
        <v>333</v>
      </c>
      <c r="AF48" s="1271" t="s">
        <v>334</v>
      </c>
      <c r="AG48" s="1271" t="s">
        <v>335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336</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337</v>
      </c>
      <c r="AD53" s="1271" t="s">
        <v>338</v>
      </c>
      <c r="AE53" s="1271" t="s">
        <v>339</v>
      </c>
      <c r="AF53" s="1271" t="s">
        <v>340</v>
      </c>
      <c r="AG53" s="1271" t="s">
        <v>341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342</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343</v>
      </c>
      <c r="AD58" s="1271" t="s">
        <v>344</v>
      </c>
      <c r="AE58" s="1271" t="s">
        <v>345</v>
      </c>
      <c r="AF58" s="1271" t="s">
        <v>346</v>
      </c>
      <c r="AG58" s="1271" t="s">
        <v>347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348</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349</v>
      </c>
      <c r="AD63" s="1271" t="s">
        <v>350</v>
      </c>
      <c r="AE63" s="1271" t="s">
        <v>351</v>
      </c>
      <c r="AF63" s="1271" t="s">
        <v>352</v>
      </c>
      <c r="AG63" s="1271" t="s">
        <v>353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354</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355</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356</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357</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358</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359</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360</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361</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362</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363</v>
      </c>
      <c r="AD79" s="1271" t="s">
        <v>364</v>
      </c>
      <c r="AE79" s="1271" t="s">
        <v>365</v>
      </c>
      <c r="AF79" s="1271" t="s">
        <v>366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367</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368</v>
      </c>
      <c r="AD84" s="1271" t="s">
        <v>369</v>
      </c>
      <c r="AE84" s="1271" t="s">
        <v>370</v>
      </c>
      <c r="AF84" s="1271" t="s">
        <v>371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372</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373</v>
      </c>
      <c r="AD89" s="1271" t="s">
        <v>374</v>
      </c>
      <c r="AE89" s="1271" t="s">
        <v>375</v>
      </c>
      <c r="AF89" s="1271" t="s">
        <v>376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377</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378</v>
      </c>
      <c r="AD94" s="1271" t="s">
        <v>379</v>
      </c>
      <c r="AE94" s="1271" t="s">
        <v>380</v>
      </c>
      <c r="AF94" s="1271" t="s">
        <v>381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382</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383</v>
      </c>
      <c r="AD99" s="1271" t="s">
        <v>384</v>
      </c>
      <c r="AE99" s="1271" t="s">
        <v>385</v>
      </c>
      <c r="AF99" s="1271" t="s">
        <v>386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387</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388</v>
      </c>
      <c r="AD105" s="1271" t="s">
        <v>389</v>
      </c>
      <c r="AE105" s="1271" t="s">
        <v>390</v>
      </c>
      <c r="AF105" s="1271" t="s">
        <v>391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392</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393</v>
      </c>
      <c r="AD110" s="1271" t="s">
        <v>394</v>
      </c>
      <c r="AE110" s="1271" t="s">
        <v>395</v>
      </c>
      <c r="AF110" s="1271" t="s">
        <v>396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397</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398</v>
      </c>
      <c r="AD115" s="1271" t="s">
        <v>399</v>
      </c>
      <c r="AE115" s="1271" t="s">
        <v>400</v>
      </c>
      <c r="AF115" s="1271" t="s">
        <v>401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402</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403</v>
      </c>
      <c r="AD121" s="1271" t="s">
        <v>404</v>
      </c>
      <c r="AE121" s="1271" t="s">
        <v>405</v>
      </c>
      <c r="AF121" s="1271" t="s">
        <v>406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407</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408</v>
      </c>
      <c r="AD126" s="1271" t="s">
        <v>409</v>
      </c>
      <c r="AE126" s="1271" t="s">
        <v>410</v>
      </c>
      <c r="AF126" s="1271" t="s">
        <v>411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412</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413</v>
      </c>
      <c r="AD131" s="1271" t="s">
        <v>414</v>
      </c>
      <c r="AE131" s="1271" t="s">
        <v>415</v>
      </c>
      <c r="AF131" s="1271" t="s">
        <v>416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77DA8-CD44-15BE-CF68-904D4ED110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417</v>
      </c>
      <c r="M2" s="1557" t="s">
        <v>418</v>
      </c>
      <c r="R2" s="1557" t="s">
        <v>419</v>
      </c>
      <c r="S2" s="1557" t="s">
        <v>418</v>
      </c>
      <c r="X2" s="1557" t="s">
        <v>417</v>
      </c>
      <c r="Y2" s="1557" t="s">
        <v>418</v>
      </c>
      <c r="AD2" s="1557" t="s">
        <v>417</v>
      </c>
      <c r="AE2" s="1557" t="s">
        <v>418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420</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КГУП "Примтеплоэнерго"</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173</v>
      </c>
      <c r="F8" s="2209" t="s">
        <v>266</v>
      </c>
      <c r="G8" s="2210"/>
      <c r="H8" s="2209" t="s">
        <v>87</v>
      </c>
      <c r="I8" s="2210"/>
      <c r="J8" s="2144" t="s">
        <v>267</v>
      </c>
      <c r="K8" s="1560"/>
      <c r="L8" s="2213" t="s">
        <v>421</v>
      </c>
      <c r="M8" s="2213"/>
      <c r="N8" s="2213"/>
      <c r="O8" s="2213"/>
      <c r="P8" s="2213"/>
      <c r="Q8" s="1561"/>
      <c r="R8" s="2113" t="s">
        <v>422</v>
      </c>
      <c r="S8" s="2214"/>
      <c r="T8" s="2214"/>
      <c r="U8" s="2214"/>
      <c r="V8" s="2214"/>
      <c r="W8" s="1561"/>
      <c r="X8" s="2215" t="s">
        <v>423</v>
      </c>
      <c r="Y8" s="2215"/>
      <c r="Z8" s="2215"/>
      <c r="AA8" s="2215"/>
      <c r="AB8" s="2215"/>
      <c r="AC8" s="1562"/>
      <c r="AD8" s="2144" t="s">
        <v>424</v>
      </c>
      <c r="AE8" s="2144"/>
      <c r="AF8" s="2144"/>
      <c r="AG8" s="2144"/>
      <c r="AH8" s="2118"/>
      <c r="AI8" s="2144" t="s">
        <v>425</v>
      </c>
      <c r="AJ8" s="1578"/>
      <c r="BM8" s="297">
        <v>32</v>
      </c>
    </row>
    <row customHeight="1" ht="23.25">
      <c r="D9" s="2144"/>
      <c r="E9" s="2144"/>
      <c r="F9" s="2192" t="s">
        <v>88</v>
      </c>
      <c r="G9" s="2192" t="s">
        <v>272</v>
      </c>
      <c r="H9" s="2211"/>
      <c r="I9" s="2212"/>
      <c r="J9" s="2118"/>
      <c r="K9" s="1563"/>
      <c r="L9" s="2144" t="s">
        <v>426</v>
      </c>
      <c r="M9" s="2118"/>
      <c r="N9" s="2209" t="s">
        <v>87</v>
      </c>
      <c r="O9" s="2210"/>
      <c r="P9" s="2144" t="s">
        <v>273</v>
      </c>
      <c r="Q9" s="1560"/>
      <c r="R9" s="2144" t="s">
        <v>426</v>
      </c>
      <c r="S9" s="2118"/>
      <c r="T9" s="2209" t="s">
        <v>87</v>
      </c>
      <c r="U9" s="2210"/>
      <c r="V9" s="2144" t="s">
        <v>273</v>
      </c>
      <c r="W9" s="1560"/>
      <c r="X9" s="2144" t="s">
        <v>426</v>
      </c>
      <c r="Y9" s="2118"/>
      <c r="Z9" s="2209" t="s">
        <v>87</v>
      </c>
      <c r="AA9" s="2210"/>
      <c r="AB9" s="2144" t="s">
        <v>427</v>
      </c>
      <c r="AC9" s="1560"/>
      <c r="AD9" s="2144" t="s">
        <v>426</v>
      </c>
      <c r="AE9" s="2118"/>
      <c r="AF9" s="2209" t="s">
        <v>87</v>
      </c>
      <c r="AG9" s="2210"/>
      <c r="AH9" s="2118" t="s">
        <v>427</v>
      </c>
      <c r="AI9" s="2144"/>
      <c r="AJ9" s="1578"/>
      <c r="BM9" s="297">
        <v>22</v>
      </c>
    </row>
    <row customHeight="1" ht="24">
      <c r="D10" s="2192"/>
      <c r="E10" s="2192"/>
      <c r="F10" s="2216"/>
      <c r="G10" s="2216"/>
      <c r="H10" s="2217"/>
      <c r="I10" s="2218"/>
      <c r="J10" s="2209"/>
      <c r="K10" s="1563"/>
      <c r="L10" s="1582" t="s">
        <v>428</v>
      </c>
      <c r="M10" s="1577" t="s">
        <v>429</v>
      </c>
      <c r="N10" s="2211"/>
      <c r="O10" s="2212"/>
      <c r="P10" s="2192"/>
      <c r="Q10" s="1560"/>
      <c r="R10" s="1582" t="s">
        <v>428</v>
      </c>
      <c r="S10" s="1577" t="s">
        <v>429</v>
      </c>
      <c r="T10" s="2211"/>
      <c r="U10" s="2212"/>
      <c r="V10" s="2192"/>
      <c r="W10" s="1560"/>
      <c r="X10" s="1582" t="s">
        <v>428</v>
      </c>
      <c r="Y10" s="1577" t="s">
        <v>429</v>
      </c>
      <c r="Z10" s="2211"/>
      <c r="AA10" s="2212"/>
      <c r="AB10" s="2192"/>
      <c r="AC10" s="1560"/>
      <c r="AD10" s="1582" t="s">
        <v>428</v>
      </c>
      <c r="AE10" s="1577" t="s">
        <v>429</v>
      </c>
      <c r="AF10" s="2211"/>
      <c r="AG10" s="2212"/>
      <c r="AH10" s="2209"/>
      <c r="AI10" s="2192"/>
      <c r="AJ10" s="1578"/>
      <c r="AK10" s="258" t="s">
        <v>430</v>
      </c>
      <c r="AL10" s="258" t="s">
        <v>274</v>
      </c>
      <c r="BM10" s="297">
        <v>23</v>
      </c>
    </row>
    <row customHeight="1" ht="15">
      <c r="D11" s="2200" t="s">
        <v>105</v>
      </c>
      <c r="E11" s="2196" t="s">
        <v>431</v>
      </c>
      <c r="F11" s="2196" t="s">
        <v>432</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102</v>
      </c>
      <c r="E17" s="2196" t="s">
        <v>431</v>
      </c>
      <c r="F17" s="2196" t="s">
        <v>433</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431</v>
      </c>
      <c r="F23" s="2196" t="s">
        <v>434</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431</v>
      </c>
      <c r="F29" s="2196" t="s">
        <v>435</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120</v>
      </c>
      <c r="E35" s="2196" t="s">
        <v>431</v>
      </c>
      <c r="F35" s="2196" t="s">
        <v>436</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4227B-6ED8-7D08-8888-AE1396E76C9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437</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холодное водоснабжение (общая информация)</v>
      </c>
      <c r="E4" s="2175"/>
      <c r="F4" s="2176"/>
      <c r="I4" s="719"/>
      <c r="J4" s="459">
        <v>26</v>
      </c>
    </row>
    <row customHeight="1" ht="18">
      <c r="D5" s="2193" t="str">
        <f>IF(org=0,"Не определено",org)</f>
        <v>КГУП "Примтеплоэнерго"</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438</v>
      </c>
      <c r="E8" s="2222"/>
      <c r="F8" s="2222"/>
      <c r="G8" s="2225" t="s">
        <v>439</v>
      </c>
      <c r="J8" s="459">
        <v>11</v>
      </c>
    </row>
    <row customHeight="1" ht="11.549999999999999">
      <c r="A9" s="461"/>
      <c r="B9" s="506"/>
      <c r="C9" s="461"/>
      <c r="D9" s="476" t="s">
        <v>87</v>
      </c>
      <c r="E9" s="450" t="s">
        <v>440</v>
      </c>
      <c r="F9" s="450" t="s">
        <v>441</v>
      </c>
      <c r="G9" s="2226"/>
      <c r="J9" s="459">
        <v>11</v>
      </c>
    </row>
    <row customHeight="1" ht="12" hidden="1">
      <c r="A10" s="461"/>
      <c r="B10" s="506"/>
      <c r="C10" s="461"/>
      <c r="D10" s="468"/>
      <c r="E10" s="468"/>
      <c r="F10" s="468"/>
      <c r="G10" s="468"/>
      <c r="J10" s="459">
        <v>0</v>
      </c>
    </row>
    <row customHeight="1" ht="22.5" hidden="1">
      <c r="A11" s="461"/>
      <c r="B11" s="506"/>
      <c r="C11" s="461"/>
      <c r="D11" s="1013" t="s">
        <v>105</v>
      </c>
      <c r="E11" s="1016" t="s">
        <v>442</v>
      </c>
      <c r="F11" s="1015" t="str">
        <f>IF(region_name="","",region_name)</f>
        <v>Приморский край</v>
      </c>
      <c r="G11" s="1016" t="s">
        <v>443</v>
      </c>
      <c r="H11" s="479"/>
      <c r="J11" s="459">
        <v>0</v>
      </c>
    </row>
    <row customHeight="1" ht="22.5" hidden="1">
      <c r="A12" s="461"/>
      <c r="B12" s="506"/>
      <c r="C12" s="461"/>
      <c r="D12" s="449" t="s">
        <v>105</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444</v>
      </c>
      <c r="G12" s="478"/>
      <c r="H12" s="479"/>
      <c r="J12" s="459">
        <v>0</v>
      </c>
    </row>
    <row customHeight="1" ht="23.25">
      <c r="A13" s="461"/>
      <c r="B13" s="506"/>
      <c r="C13" s="461"/>
      <c r="D13" s="449" t="s">
        <v>105</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445</v>
      </c>
      <c r="E14" s="1014" t="s">
        <v>446</v>
      </c>
      <c r="F14" s="1015" t="str">
        <f>IF(inn="","",inn)</f>
        <v>2536112729</v>
      </c>
      <c r="G14" s="1016" t="s">
        <v>447</v>
      </c>
      <c r="H14" s="479"/>
      <c r="J14" s="459">
        <v>0</v>
      </c>
    </row>
    <row customHeight="1" ht="22.5" hidden="1">
      <c r="A15" s="461"/>
      <c r="B15" s="506"/>
      <c r="C15" s="461"/>
      <c r="D15" s="1013" t="s">
        <v>448</v>
      </c>
      <c r="E15" s="1014" t="s">
        <v>449</v>
      </c>
      <c r="F15" s="1015" t="str">
        <f>IF(kpp="","",kpp)</f>
        <v>253801001</v>
      </c>
      <c r="G15" s="1016" t="s">
        <v>450</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451</v>
      </c>
      <c r="B19" s="506"/>
      <c r="C19" s="2230"/>
      <c r="D19" s="449" t="str">
        <f>A19</f>
        <v>5.1</v>
      </c>
      <c r="E19" s="446" t="s">
        <v>452</v>
      </c>
      <c r="F19" s="447" t="s">
        <v>444</v>
      </c>
      <c r="G19" s="448" t="s">
        <v>453</v>
      </c>
      <c r="H19" s="479"/>
      <c r="I19" s="856"/>
      <c r="J19" s="459">
        <v>0</v>
      </c>
    </row>
    <row customHeight="1" ht="24" hidden="1">
      <c r="A20" s="2219"/>
      <c r="B20" s="506"/>
      <c r="C20" s="2230"/>
      <c r="D20" s="444" t="str">
        <f>D19&amp;".1"</f>
        <v>5.1.1</v>
      </c>
      <c r="E20" s="443" t="s">
        <v>454</v>
      </c>
      <c r="F20" s="885" t="s">
        <v>22</v>
      </c>
      <c r="G20" s="478"/>
      <c r="H20" s="479"/>
      <c r="I20" s="856"/>
      <c r="J20" s="459">
        <v>0</v>
      </c>
    </row>
    <row customHeight="1" ht="22.5" hidden="1">
      <c r="A21" s="2219"/>
      <c r="B21" s="506"/>
      <c r="C21" s="2230"/>
      <c r="D21" s="444" t="str">
        <f>D19&amp;".2"</f>
        <v>5.1.2</v>
      </c>
      <c r="E21" s="443" t="s">
        <v>455</v>
      </c>
      <c r="F21" s="1736" t="s">
        <v>22</v>
      </c>
      <c r="G21" s="448" t="s">
        <v>456</v>
      </c>
      <c r="H21" s="479"/>
      <c r="I21" s="856"/>
      <c r="J21" s="459">
        <v>0</v>
      </c>
    </row>
    <row customHeight="1" ht="22.5" hidden="1">
      <c r="A22" s="2219"/>
      <c r="B22" s="506"/>
      <c r="C22" s="2230"/>
      <c r="D22" s="444" t="str">
        <f>D19&amp;".3"</f>
        <v>5.1.3</v>
      </c>
      <c r="E22" s="443" t="s">
        <v>457</v>
      </c>
      <c r="F22" s="885" t="s">
        <v>22</v>
      </c>
      <c r="G22" s="478"/>
      <c r="H22" s="479"/>
      <c r="I22" s="856"/>
      <c r="J22" s="459">
        <v>0</v>
      </c>
    </row>
    <row customHeight="1" ht="22.5" hidden="1">
      <c r="A23" s="2219"/>
      <c r="B23" s="506"/>
      <c r="C23" s="2230"/>
      <c r="D23" s="444" t="str">
        <f>D19&amp;".4"</f>
        <v>5.1.4</v>
      </c>
      <c r="E23" s="443" t="s">
        <v>458</v>
      </c>
      <c r="F23" s="885" t="s">
        <v>22</v>
      </c>
      <c r="G23" s="448" t="s">
        <v>459</v>
      </c>
      <c r="H23" s="479"/>
      <c r="I23" s="856"/>
      <c r="J23" s="459">
        <v>0</v>
      </c>
    </row>
    <row customHeight="1" ht="22.5" hidden="1">
      <c r="A24" s="1979"/>
      <c r="B24" s="506"/>
      <c r="C24" s="496"/>
      <c r="D24" s="471"/>
      <c r="E24" s="1172" t="s">
        <v>460</v>
      </c>
      <c r="F24" s="472"/>
      <c r="G24" s="473"/>
      <c r="H24" s="479"/>
      <c r="I24" s="856"/>
      <c r="J24" s="459">
        <v>0</v>
      </c>
    </row>
    <row s="505" customFormat="1" customHeight="1" ht="24.75" hidden="1">
      <c r="A25" s="461"/>
      <c r="B25" s="506"/>
      <c r="C25" s="506"/>
      <c r="D25" s="1010" t="s">
        <v>89</v>
      </c>
      <c r="E25" s="1012" t="s">
        <v>461</v>
      </c>
      <c r="F25" s="1017" t="s">
        <v>444</v>
      </c>
      <c r="G25" s="1012"/>
      <c r="J25" s="505">
        <v>0</v>
      </c>
    </row>
    <row s="505" customFormat="1" customHeight="1" ht="11.25" hidden="1">
      <c r="A26" s="461"/>
      <c r="B26" s="506"/>
      <c r="C26" s="506"/>
      <c r="D26" s="1010" t="s">
        <v>462</v>
      </c>
      <c r="E26" s="1011" t="s">
        <v>463</v>
      </c>
      <c r="F26" s="1017" t="s">
        <v>444</v>
      </c>
      <c r="G26" s="1012"/>
      <c r="J26" s="505">
        <v>0</v>
      </c>
    </row>
    <row s="505" customFormat="1" customHeight="1" ht="11.25" hidden="1">
      <c r="A27" s="461"/>
      <c r="B27" s="506"/>
      <c r="C27" s="506"/>
      <c r="D27" s="1010" t="s">
        <v>464</v>
      </c>
      <c r="E27" s="1018" t="s">
        <v>465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466</v>
      </c>
      <c r="E28" s="1018" t="s">
        <v>467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468</v>
      </c>
      <c r="E29" s="1018" t="s">
        <v>469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470</v>
      </c>
      <c r="E30" s="1011" t="s">
        <v>471</v>
      </c>
      <c r="F30" s="1019"/>
      <c r="G30" s="1012"/>
      <c r="J30" s="505">
        <v>0</v>
      </c>
    </row>
    <row s="505" customFormat="1" customHeight="1" ht="11.25" hidden="1">
      <c r="A31" s="461"/>
      <c r="B31" s="506"/>
      <c r="C31" s="506"/>
      <c r="D31" s="1010" t="s">
        <v>472</v>
      </c>
      <c r="E31" s="1011" t="s">
        <v>473</v>
      </c>
      <c r="F31" s="1019"/>
      <c r="G31" s="1012"/>
      <c r="J31" s="505">
        <v>0</v>
      </c>
    </row>
    <row s="505" customFormat="1" customHeight="1" ht="11.25" hidden="1">
      <c r="A32" s="461"/>
      <c r="B32" s="506"/>
      <c r="C32" s="506"/>
      <c r="D32" s="1010" t="s">
        <v>474</v>
      </c>
      <c r="E32" s="1011" t="s">
        <v>475</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444</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476</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476</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444</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477</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478</v>
      </c>
      <c r="H44" s="479"/>
      <c r="J44" s="459">
        <v>22</v>
      </c>
    </row>
    <row customHeight="1" ht="23.25">
      <c r="A45" s="461"/>
      <c r="B45" s="506"/>
      <c r="C45" s="461"/>
      <c r="D45" s="444">
        <f>D44+1</f>
        <v>11</v>
      </c>
      <c r="E45" s="442" t="s">
        <v>479</v>
      </c>
      <c r="F45" s="447" t="s">
        <v>444</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480</v>
      </c>
      <c r="H46" s="479"/>
      <c r="J46" s="459">
        <v>23</v>
      </c>
    </row>
    <row customHeight="1" ht="24">
      <c r="A47" s="2219"/>
      <c r="B47" s="506"/>
      <c r="C47" s="496"/>
      <c r="D47" s="444" t="str">
        <f>D45&amp;".2"</f>
        <v>11.2</v>
      </c>
      <c r="E47" s="446" t="s">
        <v>481</v>
      </c>
      <c r="F47" s="494"/>
      <c r="G47" s="441" t="s">
        <v>482</v>
      </c>
      <c r="H47" s="479"/>
      <c r="J47" s="459">
        <v>23</v>
      </c>
    </row>
    <row customHeight="1" ht="24">
      <c r="A48" s="2219"/>
      <c r="B48" s="506"/>
      <c r="C48" s="496"/>
      <c r="D48" s="444" t="str">
        <f>D45&amp;".3"</f>
        <v>11.3</v>
      </c>
      <c r="E48" s="446" t="s">
        <v>483</v>
      </c>
      <c r="F48" s="494"/>
      <c r="G48" s="441" t="s">
        <v>484</v>
      </c>
      <c r="H48" s="479"/>
      <c r="J48" s="459">
        <v>23</v>
      </c>
    </row>
    <row customHeight="1" ht="24">
      <c r="A49" s="2219"/>
      <c r="B49" s="506"/>
      <c r="C49" s="496"/>
      <c r="D49" s="444" t="str">
        <f>IF(TEMPLATE_SPHERE="TKO",D45&amp;".0",D45&amp;".4")</f>
        <v>11.4</v>
      </c>
      <c r="E49" s="440" t="s">
        <v>485</v>
      </c>
      <c r="F49" s="1688"/>
      <c r="G49" s="1765" t="s">
        <v>486</v>
      </c>
      <c r="H49" s="479"/>
      <c r="J49" s="459">
        <v>23</v>
      </c>
    </row>
    <row customHeight="1" ht="24">
      <c r="A50" s="461"/>
      <c r="B50" s="506"/>
      <c r="C50" s="461"/>
      <c r="D50" s="471"/>
      <c r="E50" s="419" t="s">
        <v>487</v>
      </c>
      <c r="F50" s="472"/>
      <c r="G50" s="1765" t="s">
        <v>488</v>
      </c>
      <c r="H50" s="480"/>
      <c r="J50" s="459">
        <v>23</v>
      </c>
    </row>
    <row customHeight="1" ht="24">
      <c r="A51" s="862"/>
      <c r="B51" s="506"/>
      <c r="C51" s="496"/>
      <c r="D51" s="444">
        <f>D45+1</f>
        <v>12</v>
      </c>
      <c r="E51" s="532" t="s">
        <v>489</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E616F-7AB1-3849-0738-C160B6C7E57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490</v>
      </c>
      <c r="I1" s="2234"/>
      <c r="J1" s="2234"/>
      <c r="K1" s="2234"/>
      <c r="L1" s="2234"/>
      <c r="M1" s="2234"/>
      <c r="N1" s="2234"/>
      <c r="O1" s="2234"/>
      <c r="P1" s="2234"/>
      <c r="Q1" s="2234"/>
      <c r="R1" s="2234"/>
      <c r="T1" s="2234" t="s">
        <v>491</v>
      </c>
      <c r="U1" s="2234"/>
      <c r="V1" s="2234"/>
      <c r="X1" s="2234" t="s">
        <v>492</v>
      </c>
      <c r="Y1" s="2234"/>
      <c r="Z1" s="2234"/>
      <c r="AB1" s="2234" t="s">
        <v>493</v>
      </c>
      <c r="AC1" s="2234"/>
      <c r="AT1" s="451" t="s">
        <v>14</v>
      </c>
    </row>
    <row customHeight="1" ht="14.25" hidden="1">
      <c r="AT2" s="451">
        <v>0</v>
      </c>
    </row>
    <row s="1617" customFormat="1" customHeight="1" ht="5.25">
      <c r="C3" s="705"/>
      <c r="D3" s="706"/>
      <c r="E3" s="706"/>
      <c r="F3" s="706"/>
      <c r="G3" s="706"/>
      <c r="H3" s="706" t="s">
        <v>494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КГУП "Примтеплоэнерго"</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438</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439</v>
      </c>
      <c r="AF7" s="2240" t="s">
        <v>439</v>
      </c>
      <c r="AG7" s="2240" t="s">
        <v>439</v>
      </c>
      <c r="AH7" s="2240" t="s">
        <v>439</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холодного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495</v>
      </c>
      <c r="I8" s="2243" t="s">
        <v>496</v>
      </c>
      <c r="J8" s="2240" t="s">
        <v>497</v>
      </c>
      <c r="K8" s="2240"/>
      <c r="L8" s="2240"/>
      <c r="M8" s="2235"/>
      <c r="N8" s="2240" t="s">
        <v>498</v>
      </c>
      <c r="O8" s="2240"/>
      <c r="P8" s="2240" t="s">
        <v>499</v>
      </c>
      <c r="Q8" s="2240"/>
      <c r="R8" s="2247" t="s">
        <v>500</v>
      </c>
      <c r="S8" s="828"/>
      <c r="T8" s="2245" t="s">
        <v>501</v>
      </c>
      <c r="U8" s="2245" t="s">
        <v>502</v>
      </c>
      <c r="V8" s="2245" t="s">
        <v>503</v>
      </c>
      <c r="W8" s="830"/>
      <c r="X8" s="2245" t="s">
        <v>504</v>
      </c>
      <c r="Y8" s="2245" t="s">
        <v>505</v>
      </c>
      <c r="Z8" s="2245" t="s">
        <v>506</v>
      </c>
      <c r="AA8" s="830"/>
      <c r="AB8" s="2245" t="s">
        <v>507</v>
      </c>
      <c r="AC8" s="2245" t="s">
        <v>500</v>
      </c>
      <c r="AD8" s="830"/>
      <c r="AE8" s="2240"/>
      <c r="AF8" s="2240"/>
      <c r="AG8" s="2240"/>
      <c r="AH8" s="2240"/>
      <c r="AT8" s="451">
        <v>26</v>
      </c>
    </row>
    <row customHeight="1" ht="46.199999999999996">
      <c r="C9" s="454"/>
      <c r="D9" s="2144"/>
      <c r="E9" s="2240"/>
      <c r="F9" s="2240"/>
      <c r="G9" s="833"/>
      <c r="H9" s="2242"/>
      <c r="I9" s="2244"/>
      <c r="J9" s="429" t="s">
        <v>508</v>
      </c>
      <c r="K9" s="429" t="s">
        <v>509</v>
      </c>
      <c r="L9" s="429" t="s">
        <v>510</v>
      </c>
      <c r="M9" s="435" t="s">
        <v>511</v>
      </c>
      <c r="N9" s="429" t="s">
        <v>512</v>
      </c>
      <c r="O9" s="429" t="s">
        <v>511</v>
      </c>
      <c r="P9" s="429" t="s">
        <v>513</v>
      </c>
      <c r="Q9" s="429" t="s">
        <v>511</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514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105</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515</v>
      </c>
      <c r="AF12" s="2238" t="s">
        <v>516</v>
      </c>
      <c r="AG12" s="2238" t="s">
        <v>517</v>
      </c>
      <c r="AH12" s="2238" t="s">
        <v>518</v>
      </c>
      <c r="AI12" s="451"/>
      <c r="AM12" s="515"/>
      <c r="AP12" s="504" t="s">
        <v>519</v>
      </c>
      <c r="AQ12" s="504" t="s">
        <v>519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59A29-BEBD-C4F8-BEE3-8C94575469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490</v>
      </c>
      <c r="I1" s="2234"/>
      <c r="V1" s="1611" t="s">
        <v>14</v>
      </c>
    </row>
    <row s="1639" customFormat="1" customHeight="1" ht="14.25" hidden="1">
      <c r="C2" s="1623"/>
      <c r="D2" s="2250" t="s">
        <v>105</v>
      </c>
      <c r="E2" s="2252"/>
      <c r="F2" s="1629"/>
      <c r="G2" s="1624" t="s">
        <v>105</v>
      </c>
      <c r="H2" s="1627"/>
      <c r="I2" s="1625"/>
      <c r="L2" s="1626"/>
      <c r="M2" s="1626"/>
      <c r="N2" s="1626"/>
      <c r="O2" s="1626" t="s">
        <v>520</v>
      </c>
      <c r="P2" s="1626"/>
      <c r="Q2" s="1626"/>
      <c r="R2" s="1628" t="s">
        <v>519</v>
      </c>
      <c r="S2" s="1628" t="s">
        <v>519</v>
      </c>
      <c r="T2" s="1626"/>
      <c r="U2" s="1626"/>
      <c r="V2" s="1622">
        <v>0</v>
      </c>
    </row>
    <row s="1639" customFormat="1" customHeight="1" ht="14.25" hidden="1">
      <c r="C3" s="1623"/>
      <c r="D3" s="2251"/>
      <c r="E3" s="2253"/>
      <c r="F3" s="409"/>
      <c r="G3" s="873"/>
      <c r="H3" s="873" t="s">
        <v>521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494</v>
      </c>
      <c r="I5" s="706"/>
      <c r="J5" s="706"/>
      <c r="L5" s="1618"/>
      <c r="M5" s="1618"/>
      <c r="N5" s="1618"/>
      <c r="O5" s="1618"/>
      <c r="P5" s="1618"/>
      <c r="Q5" s="1618"/>
      <c r="R5" s="1618"/>
      <c r="S5" s="1618"/>
      <c r="T5" s="1618"/>
      <c r="U5" s="1618"/>
      <c r="V5" s="1617">
        <v>5</v>
      </c>
    </row>
    <row customHeight="1" ht="29.25">
      <c r="C6" s="1520"/>
      <c r="D6" s="2254" t="s">
        <v>522</v>
      </c>
      <c r="E6" s="2254"/>
      <c r="F6" s="2254"/>
      <c r="G6" s="2254"/>
      <c r="H6" s="2254"/>
      <c r="I6" s="2254"/>
      <c r="J6" s="495"/>
      <c r="K6" s="1619"/>
      <c r="V6" s="1611">
        <v>28</v>
      </c>
    </row>
    <row customHeight="1" ht="18">
      <c r="C7" s="1520"/>
      <c r="D7" s="2193" t="str">
        <f>IF(org=0,"Не определено",org)</f>
        <v>КГУП "Примтеплоэнерго"</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438</v>
      </c>
      <c r="E10" s="2236"/>
      <c r="F10" s="2236"/>
      <c r="G10" s="2236"/>
      <c r="H10" s="2236"/>
      <c r="I10" s="2236"/>
      <c r="J10" s="2240" t="s">
        <v>439</v>
      </c>
      <c r="V10" s="1611">
        <v>14</v>
      </c>
    </row>
    <row customHeight="1" ht="27.299999999999997">
      <c r="C11" s="1520"/>
      <c r="D11" s="2144" t="s">
        <v>87</v>
      </c>
      <c r="E11" s="2240" t="s">
        <v>173</v>
      </c>
      <c r="F11" s="2209" t="s">
        <v>87</v>
      </c>
      <c r="G11" s="2210"/>
      <c r="H11" s="2192" t="s">
        <v>523</v>
      </c>
      <c r="I11" s="2192" t="s">
        <v>524</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514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105</v>
      </c>
      <c r="E14" s="2252"/>
      <c r="F14" s="1621"/>
      <c r="G14" s="1620" t="s">
        <v>105</v>
      </c>
      <c r="H14" s="1627"/>
      <c r="I14" s="1625"/>
      <c r="J14" s="2186" t="s">
        <v>525</v>
      </c>
      <c r="K14" s="1611"/>
      <c r="R14" s="504" t="s">
        <v>519</v>
      </c>
      <c r="S14" s="504" t="s">
        <v>519</v>
      </c>
      <c r="V14" s="1611">
        <v>14</v>
      </c>
    </row>
    <row customHeight="1" ht="14.699999999999998">
      <c r="A15" s="1611"/>
      <c r="C15" s="1520"/>
      <c r="D15" s="2251"/>
      <c r="E15" s="2253"/>
      <c r="F15" s="409"/>
      <c r="G15" s="873"/>
      <c r="H15" s="873" t="s">
        <v>521</v>
      </c>
      <c r="I15" s="317"/>
      <c r="J15" s="2187"/>
      <c r="K15" s="1611"/>
      <c r="R15" s="504"/>
      <c r="S15" s="504"/>
      <c r="V15" s="1611">
        <v>14</v>
      </c>
    </row>
    <row customHeight="1" ht="14.699999999999998">
      <c r="A16" s="1611"/>
      <c r="C16" s="1520"/>
      <c r="D16" s="409"/>
      <c r="E16" s="873" t="s">
        <v>265</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B55B9-BE38-CEB8-3444-EB2890F4EA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526</v>
      </c>
      <c r="F4" s="2255"/>
      <c r="G4" s="2256"/>
      <c r="H4" s="2256"/>
      <c r="I4" s="2257"/>
      <c r="J4" s="495"/>
      <c r="K4" s="457"/>
      <c r="L4" s="457"/>
      <c r="W4" s="451">
        <v>22</v>
      </c>
    </row>
    <row s="1639" customFormat="1" customHeight="1" ht="18">
      <c r="A5" s="763"/>
      <c r="D5" s="826"/>
      <c r="E5" s="2231" t="str">
        <f>IF(org=0,"Не определено",org)</f>
        <v>КГУП "Примтеплоэнерго"</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438</v>
      </c>
      <c r="F7" s="2225"/>
      <c r="G7" s="2226"/>
      <c r="H7" s="2226"/>
      <c r="I7" s="2226"/>
      <c r="J7" s="2226"/>
      <c r="K7" s="2226"/>
      <c r="L7" s="2240" t="s">
        <v>439</v>
      </c>
      <c r="W7" s="451">
        <v>14</v>
      </c>
    </row>
    <row customHeight="1" ht="48.29999999999999">
      <c r="D8" s="454"/>
      <c r="E8" s="477" t="s">
        <v>87</v>
      </c>
      <c r="F8" s="827"/>
      <c r="G8" s="469" t="s">
        <v>85</v>
      </c>
      <c r="H8" s="469" t="s">
        <v>86</v>
      </c>
      <c r="I8" s="418" t="s">
        <v>84</v>
      </c>
      <c r="J8" s="418" t="s">
        <v>527</v>
      </c>
      <c r="K8" s="418" t="s">
        <v>528</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529</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64</v>
      </c>
      <c r="K12" s="1168" t="s">
        <v>22</v>
      </c>
      <c r="L12" s="2258"/>
      <c r="M12" s="515"/>
      <c r="N12" s="515"/>
      <c r="O12" s="515"/>
      <c r="P12" s="520" t="s">
        <v>530</v>
      </c>
      <c r="Q12" s="520" t="s">
        <v>531</v>
      </c>
      <c r="R12" s="521" t="s">
        <v>532</v>
      </c>
      <c r="S12" s="515" t="s">
        <v>533</v>
      </c>
      <c r="T12" s="515"/>
      <c r="U12" s="515"/>
      <c r="V12" s="515"/>
      <c r="W12" s="484">
        <v>14</v>
      </c>
    </row>
    <row customHeight="1" ht="15.75">
      <c r="A13" s="2116"/>
      <c r="B13" s="509"/>
      <c r="D13" s="510"/>
      <c r="E13" s="409"/>
      <c r="F13" s="533"/>
      <c r="G13" s="420" t="s">
        <v>101</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6FA32-0348-7BB8-110F-DFA20B0D6E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541</v>
      </c>
      <c r="M6" s="541"/>
      <c r="P6" s="2274">
        <v>1</v>
      </c>
      <c r="Q6" s="1309"/>
      <c r="R6" s="360"/>
      <c r="S6" s="1313">
        <f>$I6</f>
      </c>
      <c r="T6" s="289" t="s">
        <v>542</v>
      </c>
      <c r="U6" s="304"/>
      <c r="V6" s="2262"/>
      <c r="W6" s="2263"/>
      <c r="X6" s="2263"/>
      <c r="Y6" s="2263"/>
      <c r="Z6" s="2263"/>
      <c r="AA6" s="2263"/>
      <c r="AB6" s="2263"/>
      <c r="AC6" s="2264"/>
      <c r="AD6" s="2262"/>
      <c r="AE6" s="2263"/>
      <c r="AF6" s="2263"/>
      <c r="AG6" s="2263"/>
      <c r="AH6" s="2263"/>
      <c r="AI6" s="2263"/>
      <c r="AJ6" s="2263"/>
      <c r="AK6" s="2263"/>
      <c r="AL6" s="2264"/>
      <c r="AM6" s="1262" t="s">
        <v>543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544</v>
      </c>
      <c r="M7" s="541"/>
      <c r="N7" s="1370"/>
      <c r="P7" s="2274"/>
      <c r="Q7" s="2274">
        <v>1</v>
      </c>
      <c r="R7" s="361"/>
      <c r="S7" s="1313">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547</v>
      </c>
      <c r="M8" s="541"/>
      <c r="N8" s="1370"/>
      <c r="O8" s="1370"/>
      <c r="P8" s="2274"/>
      <c r="Q8" s="2274"/>
      <c r="R8" s="361">
        <v>1</v>
      </c>
      <c r="S8" s="1313">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548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549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550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551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64</v>
      </c>
      <c r="AJ17" s="2284"/>
      <c r="AK17" s="2285" t="s">
        <v>64</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555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556</v>
      </c>
      <c r="P22" s="1366"/>
      <c r="Q22" s="1375"/>
      <c r="R22" s="1375"/>
      <c r="S22" s="733"/>
      <c r="T22" s="1164" t="s">
        <v>557</v>
      </c>
      <c r="AA22" s="190" t="s">
        <v>558</v>
      </c>
      <c r="AC22" s="190" t="s">
        <v>559</v>
      </c>
      <c r="AD22" s="1164" t="s">
        <v>557</v>
      </c>
      <c r="AI22" s="190" t="s">
        <v>560</v>
      </c>
      <c r="AK22" s="190" t="s">
        <v>559</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561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562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563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564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565</v>
      </c>
      <c r="AD36" s="330"/>
      <c r="AE36" s="330"/>
      <c r="AF36" s="330"/>
      <c r="AG36" s="330"/>
      <c r="AH36" s="330"/>
      <c r="AI36" s="330"/>
      <c r="AJ36" s="330"/>
      <c r="AK36" s="282" t="s">
        <v>565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159">
        <v>14</v>
      </c>
    </row>
    <row customHeight="1" ht="14.699999999999998">
      <c r="Q39" s="380"/>
      <c r="R39" s="380"/>
      <c r="S39" s="2290" t="s">
        <v>87</v>
      </c>
      <c r="T39" s="2226" t="s">
        <v>566</v>
      </c>
      <c r="U39" s="305"/>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159">
        <v>14</v>
      </c>
    </row>
    <row customHeight="1" ht="35.699999999999996">
      <c r="Q40" s="380"/>
      <c r="R40" s="380"/>
      <c r="S40" s="2290"/>
      <c r="T40" s="2226"/>
      <c r="U40" s="1035"/>
      <c r="V40" s="2277" t="s">
        <v>571</v>
      </c>
      <c r="W40" s="2628" t="s">
        <v>572</v>
      </c>
      <c r="X40" s="2279" t="s">
        <v>573</v>
      </c>
      <c r="Y40" s="2280"/>
      <c r="Z40" s="2279" t="s">
        <v>574</v>
      </c>
      <c r="AA40" s="2286"/>
      <c r="AB40" s="2280"/>
      <c r="AC40" s="2295"/>
      <c r="AD40" s="2277" t="s">
        <v>571</v>
      </c>
      <c r="AE40" s="2300" t="s">
        <v>572</v>
      </c>
      <c r="AF40" s="2279" t="s">
        <v>573</v>
      </c>
      <c r="AG40" s="2280"/>
      <c r="AH40" s="2279" t="s">
        <v>574</v>
      </c>
      <c r="AI40" s="2286"/>
      <c r="AJ40" s="2280"/>
      <c r="AK40" s="2295"/>
      <c r="AL40" s="2298"/>
      <c r="AM40" s="2144"/>
      <c r="AS40" s="1159">
        <v>34</v>
      </c>
    </row>
    <row customHeight="1" ht="35.699999999999996">
      <c r="A41" s="1374"/>
      <c r="B41" s="1374" t="s">
        <v>279</v>
      </c>
      <c r="C41" s="1374" t="s">
        <v>280</v>
      </c>
      <c r="D41" s="1374" t="s">
        <v>281</v>
      </c>
      <c r="E41" s="1368" t="s">
        <v>575</v>
      </c>
      <c r="F41" s="1368" t="s">
        <v>576</v>
      </c>
      <c r="G41" s="1368" t="s">
        <v>577</v>
      </c>
      <c r="H41" s="1368" t="s">
        <v>578</v>
      </c>
      <c r="I41" s="1368" t="s">
        <v>579</v>
      </c>
      <c r="J41" s="1368" t="s">
        <v>580</v>
      </c>
      <c r="K41" s="1368" t="s">
        <v>581</v>
      </c>
      <c r="L41" s="1368" t="s">
        <v>556</v>
      </c>
      <c r="Q41" s="380"/>
      <c r="R41" s="380"/>
      <c r="S41" s="2290"/>
      <c r="T41" s="2226"/>
      <c r="U41" s="306"/>
      <c r="V41" s="2278"/>
      <c r="W41" s="2301"/>
      <c r="X41" s="1226" t="s">
        <v>582</v>
      </c>
      <c r="Y41" s="1226" t="s">
        <v>583</v>
      </c>
      <c r="Z41" s="1225" t="s">
        <v>584</v>
      </c>
      <c r="AA41" s="2287" t="s">
        <v>585</v>
      </c>
      <c r="AB41" s="2288"/>
      <c r="AC41" s="2296"/>
      <c r="AD41" s="2278"/>
      <c r="AE41" s="2301"/>
      <c r="AF41" s="1226" t="s">
        <v>582</v>
      </c>
      <c r="AG41" s="1226" t="s">
        <v>583</v>
      </c>
      <c r="AH41" s="1317" t="s">
        <v>584</v>
      </c>
      <c r="AI41" s="2287" t="s">
        <v>585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102</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296</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296</v>
      </c>
      <c r="B44" s="1367" t="s">
        <v>297</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504"/>
      <c r="AP44" s="504" t="str">
        <f>IF(T44="","",T44)</f>
        <v>Территория действия тарифа</v>
      </c>
      <c r="AQ44" s="504"/>
      <c r="AR44" s="504"/>
      <c r="AS44" s="1159">
        <v>23</v>
      </c>
    </row>
    <row customHeight="1" ht="24">
      <c r="A45" s="1367" t="s">
        <v>296</v>
      </c>
      <c r="B45" s="1367" t="s">
        <v>297</v>
      </c>
      <c r="C45" s="1367" t="s">
        <v>298</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504"/>
      <c r="AP45" s="504" t="str">
        <f>IF(T45="","",T45)</f>
        <v>Наименование системы теплоснабжения </v>
      </c>
      <c r="AQ45" s="504"/>
      <c r="AR45" s="504"/>
      <c r="AS45" s="1159">
        <v>23</v>
      </c>
    </row>
    <row customHeight="1" ht="24">
      <c r="A46" s="1367" t="s">
        <v>296</v>
      </c>
      <c r="B46" s="1367" t="s">
        <v>297</v>
      </c>
      <c r="C46" s="1367" t="s">
        <v>298</v>
      </c>
      <c r="D46" s="1367" t="s">
        <v>299</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504"/>
      <c r="AP46" s="504" t="str">
        <f>IF(T46="","",T46)</f>
        <v>Источник тепловой энергии  </v>
      </c>
      <c r="AQ46" s="504"/>
      <c r="AR46" s="504"/>
      <c r="AS46" s="1159">
        <v>23</v>
      </c>
    </row>
    <row customHeight="1" ht="49.5">
      <c r="A47" s="1367" t="s">
        <v>296</v>
      </c>
      <c r="B47" s="1367" t="s">
        <v>297</v>
      </c>
      <c r="C47" s="1367" t="s">
        <v>298</v>
      </c>
      <c r="D47" s="1367" t="s">
        <v>299</v>
      </c>
      <c r="E47" s="2276"/>
      <c r="F47" s="2276"/>
      <c r="G47" s="2276"/>
      <c r="H47" s="2276"/>
      <c r="I47" s="2273" t="str">
        <f>S46&amp;".1"</f>
        <v>....1</v>
      </c>
      <c r="J47" s="1367"/>
      <c r="K47" s="1367"/>
      <c r="L47" s="1368" t="s">
        <v>541</v>
      </c>
      <c r="P47" s="2274">
        <v>1</v>
      </c>
      <c r="Q47" s="1224"/>
      <c r="R47" s="360"/>
      <c r="S47" s="1228" t="str">
        <f>$I47</f>
        <v>....1</v>
      </c>
      <c r="T47" s="289" t="s">
        <v>542</v>
      </c>
      <c r="U47" s="304"/>
      <c r="V47" s="2262"/>
      <c r="W47" s="2263"/>
      <c r="X47" s="2263"/>
      <c r="Y47" s="2263"/>
      <c r="Z47" s="2263"/>
      <c r="AA47" s="2263"/>
      <c r="AB47" s="2263"/>
      <c r="AC47" s="2264"/>
      <c r="AD47" s="2262"/>
      <c r="AE47" s="2263"/>
      <c r="AF47" s="2263"/>
      <c r="AG47" s="2263"/>
      <c r="AH47" s="2263"/>
      <c r="AI47" s="2263"/>
      <c r="AJ47" s="2263"/>
      <c r="AK47" s="2263"/>
      <c r="AL47" s="2264"/>
      <c r="AM47" s="1262" t="s">
        <v>543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296</v>
      </c>
      <c r="B48" s="1367" t="s">
        <v>297</v>
      </c>
      <c r="C48" s="1367" t="s">
        <v>298</v>
      </c>
      <c r="D48" s="1367" t="s">
        <v>299</v>
      </c>
      <c r="E48" s="2276"/>
      <c r="F48" s="2276"/>
      <c r="G48" s="2276"/>
      <c r="H48" s="2276"/>
      <c r="I48" s="2303"/>
      <c r="J48" s="2273" t="str">
        <f>I47&amp;".1"</f>
        <v>....1.1</v>
      </c>
      <c r="K48" s="1367"/>
      <c r="L48" s="1368" t="s">
        <v>544</v>
      </c>
      <c r="P48" s="2274"/>
      <c r="Q48" s="2274">
        <v>1</v>
      </c>
      <c r="R48" s="361"/>
      <c r="S48" s="1228" t="str">
        <f>$J48</f>
        <v>....1.1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504"/>
      <c r="AP48" s="504" t="str">
        <f>IF(T48="","",T48)</f>
        <v>Группа потребителей</v>
      </c>
      <c r="AQ48" s="504"/>
      <c r="AR48" s="504"/>
      <c r="AS48" s="1159">
        <v>23</v>
      </c>
    </row>
    <row customHeight="1" ht="24">
      <c r="A49" s="1367" t="s">
        <v>296</v>
      </c>
      <c r="B49" s="1367" t="s">
        <v>297</v>
      </c>
      <c r="C49" s="1367" t="s">
        <v>298</v>
      </c>
      <c r="D49" s="1367" t="s">
        <v>299</v>
      </c>
      <c r="E49" s="2276"/>
      <c r="F49" s="2276"/>
      <c r="G49" s="2276"/>
      <c r="H49" s="2276"/>
      <c r="I49" s="2303"/>
      <c r="J49" s="2303"/>
      <c r="K49" s="2273" t="str">
        <f>J48&amp;".1"</f>
        <v>....1.1.1</v>
      </c>
      <c r="L49" s="1368" t="s">
        <v>547</v>
      </c>
      <c r="P49" s="2274"/>
      <c r="Q49" s="2274"/>
      <c r="R49" s="361">
        <v>1</v>
      </c>
      <c r="S49" s="1228"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548</v>
      </c>
      <c r="AN49" s="515">
        <f>STRCHECKDATE(V50:AL50)</f>
      </c>
      <c r="AO49" s="504"/>
      <c r="AP49" s="504" t="str">
        <f>IF(T49="","",T49)</f>
        <v/>
      </c>
      <c r="AQ49" s="504"/>
      <c r="AR49" s="504"/>
      <c r="AS49" s="1159">
        <v>23</v>
      </c>
    </row>
    <row customHeight="1" ht="1.05">
      <c r="A50" s="1367" t="s">
        <v>296</v>
      </c>
      <c r="B50" s="1367" t="s">
        <v>297</v>
      </c>
      <c r="C50" s="1367" t="s">
        <v>298</v>
      </c>
      <c r="D50" s="1367" t="s">
        <v>299</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296</v>
      </c>
      <c r="B51" s="1367" t="s">
        <v>297</v>
      </c>
      <c r="C51" s="1367" t="s">
        <v>298</v>
      </c>
      <c r="D51" s="1367" t="s">
        <v>299</v>
      </c>
      <c r="E51" s="2276"/>
      <c r="F51" s="2276"/>
      <c r="G51" s="2276"/>
      <c r="H51" s="2276"/>
      <c r="I51" s="2303"/>
      <c r="J51" s="2273"/>
      <c r="K51" s="1367"/>
      <c r="L51" s="1368"/>
      <c r="P51" s="2274"/>
      <c r="Q51" s="2274"/>
      <c r="R51" s="360"/>
      <c r="S51" s="1282"/>
      <c r="T51" s="292" t="s">
        <v>549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296</v>
      </c>
      <c r="B52" s="1367" t="s">
        <v>297</v>
      </c>
      <c r="C52" s="1367" t="s">
        <v>298</v>
      </c>
      <c r="D52" s="1367" t="s">
        <v>299</v>
      </c>
      <c r="E52" s="2276"/>
      <c r="F52" s="2276"/>
      <c r="G52" s="2276"/>
      <c r="H52" s="2276"/>
      <c r="I52" s="2273"/>
      <c r="J52" s="1367"/>
      <c r="K52" s="1367"/>
      <c r="L52" s="1368"/>
      <c r="P52" s="2274"/>
      <c r="Q52" s="1224"/>
      <c r="R52" s="360"/>
      <c r="S52" s="1282"/>
      <c r="T52" s="291" t="s">
        <v>550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296</v>
      </c>
      <c r="B53" s="1367" t="s">
        <v>297</v>
      </c>
      <c r="C53" s="1367" t="s">
        <v>298</v>
      </c>
      <c r="D53" s="1367" t="s">
        <v>299</v>
      </c>
      <c r="E53" s="2276"/>
      <c r="F53" s="2276"/>
      <c r="G53" s="2276"/>
      <c r="H53" s="2275"/>
      <c r="I53" s="1367"/>
      <c r="J53" s="1367"/>
      <c r="K53" s="1367"/>
      <c r="L53" s="1368"/>
      <c r="M53" s="1369"/>
      <c r="N53" s="1369"/>
      <c r="O53" s="541"/>
      <c r="P53" s="364"/>
      <c r="Q53" s="379"/>
      <c r="R53" s="359"/>
      <c r="S53" s="1282"/>
      <c r="T53" s="369" t="s">
        <v>551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296</v>
      </c>
      <c r="B54" s="1347" t="s">
        <v>297</v>
      </c>
      <c r="C54" s="1347" t="s">
        <v>298</v>
      </c>
      <c r="D54" s="1318"/>
      <c r="E54" s="2276"/>
      <c r="F54" s="2276"/>
      <c r="G54" s="2275"/>
      <c r="H54" s="1318"/>
      <c r="I54" s="1318"/>
      <c r="J54" s="1318"/>
      <c r="K54" s="1318"/>
      <c r="L54" s="1343"/>
      <c r="M54" s="1319"/>
      <c r="N54" s="131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296</v>
      </c>
      <c r="B55" s="1347" t="s">
        <v>297</v>
      </c>
      <c r="C55" s="1318"/>
      <c r="D55" s="1318"/>
      <c r="E55" s="2276"/>
      <c r="F55" s="2275"/>
      <c r="G55" s="1318"/>
      <c r="H55" s="1318"/>
      <c r="I55" s="1318"/>
      <c r="J55" s="1318"/>
      <c r="K55" s="1318"/>
      <c r="L55" s="1343"/>
      <c r="M55" s="1325"/>
      <c r="N55" s="132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296</v>
      </c>
      <c r="B56" s="1347"/>
      <c r="C56" s="1347"/>
      <c r="D56" s="1347"/>
      <c r="E56" s="2275"/>
      <c r="F56" s="1347"/>
      <c r="G56" s="1347"/>
      <c r="H56" s="1347"/>
      <c r="I56" s="1347"/>
      <c r="J56" s="1347"/>
      <c r="K56" s="1347"/>
      <c r="L56" s="1350"/>
      <c r="M56" s="1325"/>
      <c r="N56" s="1325"/>
      <c r="O56" s="522"/>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3388-0538-BE18-F6E8-1681A57C2C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541</v>
      </c>
      <c r="M6" s="541"/>
      <c r="P6" s="2274">
        <v>1</v>
      </c>
      <c r="Q6" s="1335"/>
      <c r="R6" s="360"/>
      <c r="S6" s="1340">
        <f>$I6</f>
      </c>
      <c r="T6" s="289" t="s">
        <v>542</v>
      </c>
      <c r="U6" s="304"/>
      <c r="V6" s="2262"/>
      <c r="W6" s="2263"/>
      <c r="X6" s="2263"/>
      <c r="Y6" s="2263"/>
      <c r="Z6" s="2263"/>
      <c r="AA6" s="2263"/>
      <c r="AB6" s="2263"/>
      <c r="AC6" s="2264"/>
      <c r="AD6" s="2262"/>
      <c r="AE6" s="2263"/>
      <c r="AF6" s="2263"/>
      <c r="AG6" s="2263"/>
      <c r="AH6" s="2263"/>
      <c r="AI6" s="2263"/>
      <c r="AJ6" s="2263"/>
      <c r="AK6" s="2263"/>
      <c r="AL6" s="2264"/>
      <c r="AM6" s="1262" t="s">
        <v>543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544</v>
      </c>
      <c r="M7" s="541"/>
      <c r="N7" s="1370"/>
      <c r="P7" s="2274"/>
      <c r="Q7" s="2274">
        <v>1</v>
      </c>
      <c r="R7" s="361"/>
      <c r="S7" s="1340">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547</v>
      </c>
      <c r="M8" s="541"/>
      <c r="N8" s="1370"/>
      <c r="O8" s="1370"/>
      <c r="P8" s="2274"/>
      <c r="Q8" s="2274"/>
      <c r="R8" s="361">
        <v>1</v>
      </c>
      <c r="S8" s="1340">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548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549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550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551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555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556</v>
      </c>
      <c r="P22" s="1366"/>
      <c r="Q22" s="1375"/>
      <c r="R22" s="1375"/>
      <c r="S22" s="733"/>
      <c r="T22" s="1164" t="s">
        <v>557</v>
      </c>
      <c r="AA22" s="190" t="s">
        <v>558</v>
      </c>
      <c r="AC22" s="190" t="s">
        <v>559</v>
      </c>
      <c r="AD22" s="1164" t="s">
        <v>557</v>
      </c>
      <c r="AI22" s="190" t="s">
        <v>560</v>
      </c>
      <c r="AK22" s="190" t="s">
        <v>559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561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562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563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564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565</v>
      </c>
      <c r="AD36" s="330"/>
      <c r="AE36" s="330"/>
      <c r="AF36" s="330"/>
      <c r="AG36" s="330"/>
      <c r="AH36" s="330"/>
      <c r="AI36" s="330"/>
      <c r="AJ36" s="330"/>
      <c r="AK36" s="282" t="s">
        <v>565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159">
        <v>14</v>
      </c>
    </row>
    <row customHeight="1" ht="14.699999999999998">
      <c r="Q39" s="380"/>
      <c r="R39" s="380"/>
      <c r="S39" s="2290" t="s">
        <v>87</v>
      </c>
      <c r="T39" s="2226" t="s">
        <v>566</v>
      </c>
      <c r="U39" s="305"/>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159">
        <v>14</v>
      </c>
    </row>
    <row customHeight="1" ht="35.699999999999996">
      <c r="Q40" s="380"/>
      <c r="R40" s="380"/>
      <c r="S40" s="2290"/>
      <c r="T40" s="2226"/>
      <c r="U40" s="1035"/>
      <c r="V40" s="2277" t="s">
        <v>571</v>
      </c>
      <c r="W40" s="2300" t="s">
        <v>572</v>
      </c>
      <c r="X40" s="2279" t="s">
        <v>573</v>
      </c>
      <c r="Y40" s="2280"/>
      <c r="Z40" s="2279" t="s">
        <v>587</v>
      </c>
      <c r="AA40" s="2286"/>
      <c r="AB40" s="2280"/>
      <c r="AC40" s="2295"/>
      <c r="AD40" s="2277" t="s">
        <v>571</v>
      </c>
      <c r="AE40" s="2300" t="s">
        <v>572</v>
      </c>
      <c r="AF40" s="2279" t="s">
        <v>573</v>
      </c>
      <c r="AG40" s="2280"/>
      <c r="AH40" s="2279" t="s">
        <v>574</v>
      </c>
      <c r="AI40" s="2286"/>
      <c r="AJ40" s="2280"/>
      <c r="AK40" s="2295"/>
      <c r="AL40" s="2298"/>
      <c r="AM40" s="2144"/>
      <c r="AS40" s="1159">
        <v>34</v>
      </c>
    </row>
    <row customHeight="1" ht="35.699999999999996">
      <c r="A41" s="1374"/>
      <c r="B41" s="1374" t="s">
        <v>279</v>
      </c>
      <c r="C41" s="1374" t="s">
        <v>280</v>
      </c>
      <c r="D41" s="1374" t="s">
        <v>281</v>
      </c>
      <c r="E41" s="1368" t="s">
        <v>575</v>
      </c>
      <c r="F41" s="1368" t="s">
        <v>576</v>
      </c>
      <c r="G41" s="1368" t="s">
        <v>577</v>
      </c>
      <c r="H41" s="1368" t="s">
        <v>578</v>
      </c>
      <c r="I41" s="1368" t="s">
        <v>579</v>
      </c>
      <c r="J41" s="1368" t="s">
        <v>580</v>
      </c>
      <c r="K41" s="1368" t="s">
        <v>581</v>
      </c>
      <c r="L41" s="1368" t="s">
        <v>556</v>
      </c>
      <c r="Q41" s="380"/>
      <c r="R41" s="380"/>
      <c r="S41" s="2290"/>
      <c r="T41" s="2226"/>
      <c r="U41" s="306"/>
      <c r="V41" s="2278"/>
      <c r="W41" s="2301"/>
      <c r="X41" s="1226" t="s">
        <v>582</v>
      </c>
      <c r="Y41" s="1226" t="s">
        <v>583</v>
      </c>
      <c r="Z41" s="1342" t="s">
        <v>584</v>
      </c>
      <c r="AA41" s="2287" t="s">
        <v>585</v>
      </c>
      <c r="AB41" s="2288"/>
      <c r="AC41" s="2296"/>
      <c r="AD41" s="2278"/>
      <c r="AE41" s="2301"/>
      <c r="AF41" s="1226" t="s">
        <v>582</v>
      </c>
      <c r="AG41" s="1226" t="s">
        <v>583</v>
      </c>
      <c r="AH41" s="1342" t="s">
        <v>584</v>
      </c>
      <c r="AI41" s="2287" t="s">
        <v>585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301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301</v>
      </c>
      <c r="B44" s="1367" t="s">
        <v>302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504"/>
      <c r="AP44" s="504" t="str">
        <f>IF(T44="","",T44)</f>
        <v>Территория действия тарифа</v>
      </c>
      <c r="AQ44" s="504"/>
      <c r="AR44" s="504"/>
      <c r="AS44" s="1159">
        <v>21</v>
      </c>
    </row>
    <row customHeight="1" ht="24">
      <c r="A45" s="1367" t="s">
        <v>301</v>
      </c>
      <c r="B45" s="1367" t="s">
        <v>302</v>
      </c>
      <c r="C45" s="1367" t="s">
        <v>303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504"/>
      <c r="AP45" s="504" t="str">
        <f>IF(T45="","",T45)</f>
        <v>Наименование системы теплоснабжения </v>
      </c>
      <c r="AQ45" s="504"/>
      <c r="AR45" s="504"/>
      <c r="AS45" s="1159">
        <v>23</v>
      </c>
    </row>
    <row customHeight="1" ht="22.049999999999997">
      <c r="A46" s="1367" t="s">
        <v>301</v>
      </c>
      <c r="B46" s="1367" t="s">
        <v>302</v>
      </c>
      <c r="C46" s="1367" t="s">
        <v>303</v>
      </c>
      <c r="D46" s="1367" t="s">
        <v>304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504"/>
      <c r="AP46" s="504" t="str">
        <f>IF(T46="","",T46)</f>
        <v>Источник тепловой энергии  </v>
      </c>
      <c r="AQ46" s="504"/>
      <c r="AR46" s="504"/>
      <c r="AS46" s="1159">
        <v>21</v>
      </c>
    </row>
    <row customHeight="1" ht="49.5">
      <c r="A47" s="1367" t="s">
        <v>301</v>
      </c>
      <c r="B47" s="1367" t="s">
        <v>302</v>
      </c>
      <c r="C47" s="1367" t="s">
        <v>303</v>
      </c>
      <c r="D47" s="1367" t="s">
        <v>304</v>
      </c>
      <c r="E47" s="2276"/>
      <c r="F47" s="2276"/>
      <c r="G47" s="2276"/>
      <c r="H47" s="2276"/>
      <c r="I47" s="2273" t="str">
        <f>S46&amp;".1"</f>
        <v>....1</v>
      </c>
      <c r="J47" s="1367"/>
      <c r="K47" s="1367"/>
      <c r="L47" s="1368" t="s">
        <v>541</v>
      </c>
      <c r="P47" s="2274">
        <v>1</v>
      </c>
      <c r="Q47" s="1335"/>
      <c r="R47" s="360"/>
      <c r="S47" s="1340" t="str">
        <f>$I47</f>
        <v>....1</v>
      </c>
      <c r="T47" s="289" t="s">
        <v>542</v>
      </c>
      <c r="U47" s="304"/>
      <c r="V47" s="2262"/>
      <c r="W47" s="2263"/>
      <c r="X47" s="2263"/>
      <c r="Y47" s="2263"/>
      <c r="Z47" s="2263"/>
      <c r="AA47" s="2263"/>
      <c r="AB47" s="2263"/>
      <c r="AC47" s="2264"/>
      <c r="AD47" s="2262"/>
      <c r="AE47" s="2263"/>
      <c r="AF47" s="2263"/>
      <c r="AG47" s="2263"/>
      <c r="AH47" s="2263"/>
      <c r="AI47" s="2263"/>
      <c r="AJ47" s="2263"/>
      <c r="AK47" s="2263"/>
      <c r="AL47" s="2264"/>
      <c r="AM47" s="1262" t="s">
        <v>543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301</v>
      </c>
      <c r="B48" s="1367" t="s">
        <v>302</v>
      </c>
      <c r="C48" s="1367" t="s">
        <v>303</v>
      </c>
      <c r="D48" s="1367" t="s">
        <v>304</v>
      </c>
      <c r="E48" s="2276"/>
      <c r="F48" s="2276"/>
      <c r="G48" s="2276"/>
      <c r="H48" s="2276"/>
      <c r="I48" s="2303"/>
      <c r="J48" s="2273" t="str">
        <f>I47&amp;".1"</f>
        <v>....1.1</v>
      </c>
      <c r="K48" s="1367"/>
      <c r="L48" s="1368" t="s">
        <v>544</v>
      </c>
      <c r="P48" s="2274"/>
      <c r="Q48" s="2274">
        <v>1</v>
      </c>
      <c r="R48" s="361"/>
      <c r="S48" s="1340" t="str">
        <f>$J48</f>
        <v>....1.1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504"/>
      <c r="AP48" s="504" t="str">
        <f>IF(T48="","",T48)</f>
        <v>Группа потребителей</v>
      </c>
      <c r="AQ48" s="504"/>
      <c r="AR48" s="504"/>
      <c r="AS48" s="1159">
        <v>21</v>
      </c>
    </row>
    <row customHeight="1" ht="22.049999999999997">
      <c r="A49" s="1367" t="s">
        <v>301</v>
      </c>
      <c r="B49" s="1367" t="s">
        <v>302</v>
      </c>
      <c r="C49" s="1367" t="s">
        <v>303</v>
      </c>
      <c r="D49" s="1367" t="s">
        <v>304</v>
      </c>
      <c r="E49" s="2276"/>
      <c r="F49" s="2276"/>
      <c r="G49" s="2276"/>
      <c r="H49" s="2276"/>
      <c r="I49" s="2303"/>
      <c r="J49" s="2303"/>
      <c r="K49" s="2273" t="str">
        <f>J48&amp;".1"</f>
        <v>....1.1.1</v>
      </c>
      <c r="L49" s="1368" t="s">
        <v>547</v>
      </c>
      <c r="P49" s="2274"/>
      <c r="Q49" s="2274"/>
      <c r="R49" s="361">
        <v>1</v>
      </c>
      <c r="S49" s="1340"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548</v>
      </c>
      <c r="AN49" s="515">
        <f>STRCHECKDATE(V50:AL50)</f>
      </c>
      <c r="AO49" s="504"/>
      <c r="AP49" s="504" t="str">
        <f>IF(T49="","",T49)</f>
        <v/>
      </c>
      <c r="AQ49" s="504"/>
      <c r="AR49" s="504"/>
      <c r="AS49" s="1159">
        <v>21</v>
      </c>
    </row>
    <row customHeight="1" ht="1.05">
      <c r="A50" s="1367" t="s">
        <v>301</v>
      </c>
      <c r="B50" s="1367" t="s">
        <v>302</v>
      </c>
      <c r="C50" s="1367" t="s">
        <v>303</v>
      </c>
      <c r="D50" s="1367" t="s">
        <v>304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301</v>
      </c>
      <c r="B51" s="1367" t="s">
        <v>302</v>
      </c>
      <c r="C51" s="1367" t="s">
        <v>303</v>
      </c>
      <c r="D51" s="1367" t="s">
        <v>304</v>
      </c>
      <c r="E51" s="2276"/>
      <c r="F51" s="2276"/>
      <c r="G51" s="2276"/>
      <c r="H51" s="2276"/>
      <c r="I51" s="2303"/>
      <c r="J51" s="2273"/>
      <c r="K51" s="1367"/>
      <c r="L51" s="1368"/>
      <c r="P51" s="2274"/>
      <c r="Q51" s="2274"/>
      <c r="R51" s="360"/>
      <c r="S51" s="1282"/>
      <c r="T51" s="292" t="s">
        <v>549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301</v>
      </c>
      <c r="B52" s="1367" t="s">
        <v>302</v>
      </c>
      <c r="C52" s="1367" t="s">
        <v>303</v>
      </c>
      <c r="D52" s="1367" t="s">
        <v>304</v>
      </c>
      <c r="E52" s="2276"/>
      <c r="F52" s="2276"/>
      <c r="G52" s="2276"/>
      <c r="H52" s="2276"/>
      <c r="I52" s="2273"/>
      <c r="J52" s="1367"/>
      <c r="K52" s="1367"/>
      <c r="L52" s="1368"/>
      <c r="P52" s="2274"/>
      <c r="Q52" s="1335"/>
      <c r="R52" s="360"/>
      <c r="S52" s="1282"/>
      <c r="T52" s="291" t="s">
        <v>550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301</v>
      </c>
      <c r="B53" s="1367" t="s">
        <v>302</v>
      </c>
      <c r="C53" s="1367" t="s">
        <v>303</v>
      </c>
      <c r="D53" s="1367" t="s">
        <v>304</v>
      </c>
      <c r="E53" s="2276"/>
      <c r="F53" s="2276"/>
      <c r="G53" s="2276"/>
      <c r="H53" s="2275"/>
      <c r="I53" s="1367"/>
      <c r="J53" s="1367"/>
      <c r="K53" s="1367"/>
      <c r="L53" s="1368"/>
      <c r="M53" s="1369"/>
      <c r="N53" s="1369"/>
      <c r="O53" s="541"/>
      <c r="P53" s="364"/>
      <c r="Q53" s="379"/>
      <c r="R53" s="359"/>
      <c r="S53" s="1282"/>
      <c r="T53" s="369" t="s">
        <v>551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301</v>
      </c>
      <c r="B54" s="1347" t="s">
        <v>302</v>
      </c>
      <c r="C54" s="1347" t="s">
        <v>303</v>
      </c>
      <c r="D54" s="1318"/>
      <c r="E54" s="2276"/>
      <c r="F54" s="2276"/>
      <c r="G54" s="2275"/>
      <c r="H54" s="1318"/>
      <c r="I54" s="1318"/>
      <c r="J54" s="1318"/>
      <c r="K54" s="1318"/>
      <c r="L54" s="1343"/>
      <c r="M54" s="1319"/>
      <c r="N54" s="131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301</v>
      </c>
      <c r="B55" s="1347" t="s">
        <v>302</v>
      </c>
      <c r="C55" s="1318"/>
      <c r="D55" s="1318"/>
      <c r="E55" s="2276"/>
      <c r="F55" s="2275"/>
      <c r="G55" s="1318"/>
      <c r="H55" s="1318"/>
      <c r="I55" s="1318"/>
      <c r="J55" s="1318"/>
      <c r="K55" s="1318"/>
      <c r="L55" s="1343"/>
      <c r="M55" s="1325"/>
      <c r="N55" s="132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301</v>
      </c>
      <c r="B56" s="1347"/>
      <c r="C56" s="1347"/>
      <c r="D56" s="1347"/>
      <c r="E56" s="2275"/>
      <c r="F56" s="1347"/>
      <c r="G56" s="1347"/>
      <c r="H56" s="1347"/>
      <c r="I56" s="1347"/>
      <c r="J56" s="1347"/>
      <c r="K56" s="1347"/>
      <c r="L56" s="1350"/>
      <c r="M56" s="1325"/>
      <c r="N56" s="1325"/>
      <c r="O56" s="522"/>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80C78-1A78-CCE3-5B58-B035C91813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541</v>
      </c>
      <c r="M6" s="1639"/>
      <c r="P6" s="2274">
        <v>1</v>
      </c>
      <c r="Q6" s="1955"/>
      <c r="R6" s="360"/>
      <c r="S6" s="1959">
        <f>$I6</f>
      </c>
      <c r="T6" s="289" t="s">
        <v>542</v>
      </c>
      <c r="U6" s="304"/>
      <c r="V6" s="2262"/>
      <c r="W6" s="2263"/>
      <c r="X6" s="2263"/>
      <c r="Y6" s="2263"/>
      <c r="Z6" s="2263"/>
      <c r="AA6" s="2263"/>
      <c r="AB6" s="2263"/>
      <c r="AC6" s="2264"/>
      <c r="AD6" s="2262"/>
      <c r="AE6" s="2263"/>
      <c r="AF6" s="2263"/>
      <c r="AG6" s="2263"/>
      <c r="AH6" s="2263"/>
      <c r="AI6" s="2263"/>
      <c r="AJ6" s="2263"/>
      <c r="AK6" s="2263"/>
      <c r="AL6" s="2264"/>
      <c r="AM6" s="1262" t="s">
        <v>543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544</v>
      </c>
      <c r="M7" s="1639"/>
      <c r="N7" s="1635"/>
      <c r="P7" s="2274"/>
      <c r="Q7" s="2274">
        <v>1</v>
      </c>
      <c r="R7" s="361"/>
      <c r="S7" s="1959">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547</v>
      </c>
      <c r="M8" s="1639"/>
      <c r="N8" s="1635"/>
      <c r="O8" s="1635"/>
      <c r="P8" s="2274"/>
      <c r="Q8" s="2274"/>
      <c r="R8" s="361">
        <v>1</v>
      </c>
      <c r="S8" s="1959">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548</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549</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550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551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64</v>
      </c>
      <c r="AJ17" s="2284"/>
      <c r="AK17" s="2285" t="s">
        <v>64</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555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556</v>
      </c>
      <c r="P22" s="1366"/>
      <c r="Q22" s="1375"/>
      <c r="R22" s="1375"/>
      <c r="S22" s="733"/>
      <c r="T22" s="1370" t="s">
        <v>557</v>
      </c>
      <c r="AA22" s="599" t="s">
        <v>558</v>
      </c>
      <c r="AC22" s="599" t="s">
        <v>559</v>
      </c>
      <c r="AD22" s="1370" t="s">
        <v>557</v>
      </c>
      <c r="AI22" s="599" t="s">
        <v>560</v>
      </c>
      <c r="AK22" s="599" t="s">
        <v>559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561</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562</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563</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564</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565</v>
      </c>
      <c r="AD36" s="1639"/>
      <c r="AE36" s="1639"/>
      <c r="AF36" s="1639"/>
      <c r="AG36" s="1639"/>
      <c r="AH36" s="1639"/>
      <c r="AI36" s="1639"/>
      <c r="AJ36" s="1639"/>
      <c r="AK36" s="1646" t="s">
        <v>565</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635">
        <v>14</v>
      </c>
    </row>
    <row customHeight="1" ht="14.699999999999998">
      <c r="Q39" s="380"/>
      <c r="R39" s="380"/>
      <c r="S39" s="2290" t="s">
        <v>87</v>
      </c>
      <c r="T39" s="2226" t="s">
        <v>566</v>
      </c>
      <c r="U39" s="341"/>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635">
        <v>14</v>
      </c>
    </row>
    <row customHeight="1" ht="35.699999999999996">
      <c r="Q40" s="380"/>
      <c r="R40" s="380"/>
      <c r="S40" s="2290"/>
      <c r="T40" s="2226"/>
      <c r="U40" s="1035"/>
      <c r="V40" s="2277" t="s">
        <v>571</v>
      </c>
      <c r="W40" s="2300" t="s">
        <v>572</v>
      </c>
      <c r="X40" s="2279" t="s">
        <v>573</v>
      </c>
      <c r="Y40" s="2280"/>
      <c r="Z40" s="2279" t="s">
        <v>587</v>
      </c>
      <c r="AA40" s="2286"/>
      <c r="AB40" s="2280"/>
      <c r="AC40" s="2295"/>
      <c r="AD40" s="2277" t="s">
        <v>571</v>
      </c>
      <c r="AE40" s="2300" t="s">
        <v>572</v>
      </c>
      <c r="AF40" s="2279" t="s">
        <v>573</v>
      </c>
      <c r="AG40" s="2280"/>
      <c r="AH40" s="2279" t="s">
        <v>574</v>
      </c>
      <c r="AI40" s="2286"/>
      <c r="AJ40" s="2280"/>
      <c r="AK40" s="2295"/>
      <c r="AL40" s="2298"/>
      <c r="AM40" s="2144"/>
      <c r="AS40" s="1635">
        <v>34</v>
      </c>
    </row>
    <row customHeight="1" ht="35.699999999999996">
      <c r="A41" s="1270"/>
      <c r="B41" s="1270" t="s">
        <v>279</v>
      </c>
      <c r="C41" s="1270" t="s">
        <v>280</v>
      </c>
      <c r="D41" s="1270" t="s">
        <v>281</v>
      </c>
      <c r="E41" s="1314" t="s">
        <v>575</v>
      </c>
      <c r="F41" s="1314" t="s">
        <v>576</v>
      </c>
      <c r="G41" s="1314" t="s">
        <v>577</v>
      </c>
      <c r="H41" s="1314" t="s">
        <v>578</v>
      </c>
      <c r="I41" s="1314" t="s">
        <v>579</v>
      </c>
      <c r="J41" s="1314" t="s">
        <v>580</v>
      </c>
      <c r="K41" s="1314" t="s">
        <v>581</v>
      </c>
      <c r="L41" s="1314" t="s">
        <v>556</v>
      </c>
      <c r="Q41" s="380"/>
      <c r="R41" s="380"/>
      <c r="S41" s="2290"/>
      <c r="T41" s="2226"/>
      <c r="U41" s="306"/>
      <c r="V41" s="2278"/>
      <c r="W41" s="2301"/>
      <c r="X41" s="1939" t="s">
        <v>582</v>
      </c>
      <c r="Y41" s="1939" t="s">
        <v>583</v>
      </c>
      <c r="Z41" s="1939" t="s">
        <v>584</v>
      </c>
      <c r="AA41" s="2287" t="s">
        <v>585</v>
      </c>
      <c r="AB41" s="2288"/>
      <c r="AC41" s="2296"/>
      <c r="AD41" s="2278"/>
      <c r="AE41" s="2301"/>
      <c r="AF41" s="1939" t="s">
        <v>582</v>
      </c>
      <c r="AG41" s="1939" t="s">
        <v>583</v>
      </c>
      <c r="AH41" s="1939" t="s">
        <v>584</v>
      </c>
      <c r="AI41" s="2287" t="s">
        <v>585</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105</v>
      </c>
      <c r="T42" s="1259" t="s">
        <v>102</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350</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350</v>
      </c>
      <c r="B44" s="1271" t="s">
        <v>351</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1628"/>
      <c r="AP44" s="1628" t="str">
        <f>IF(T44="","",T44)</f>
        <v>Территория действия тарифа</v>
      </c>
      <c r="AQ44" s="1628"/>
      <c r="AR44" s="1628"/>
      <c r="AS44" s="1635">
        <v>21</v>
      </c>
    </row>
    <row customHeight="1" ht="24">
      <c r="A45" s="1271" t="s">
        <v>350</v>
      </c>
      <c r="B45" s="1271" t="s">
        <v>351</v>
      </c>
      <c r="C45" s="1271" t="s">
        <v>352</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1628"/>
      <c r="AP45" s="1628" t="str">
        <f>IF(T45="","",T45)</f>
        <v>Наименование системы теплоснабжения </v>
      </c>
      <c r="AQ45" s="1628"/>
      <c r="AR45" s="1628"/>
      <c r="AS45" s="1635">
        <v>23</v>
      </c>
    </row>
    <row customHeight="1" ht="22.049999999999997">
      <c r="A46" s="1271" t="s">
        <v>350</v>
      </c>
      <c r="B46" s="1271" t="s">
        <v>351</v>
      </c>
      <c r="C46" s="1271" t="s">
        <v>352</v>
      </c>
      <c r="D46" s="1271" t="s">
        <v>353</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1628"/>
      <c r="AP46" s="1628" t="str">
        <f>IF(T46="","",T46)</f>
        <v>Источник тепловой энергии  </v>
      </c>
      <c r="AQ46" s="1628"/>
      <c r="AR46" s="1628"/>
      <c r="AS46" s="1635">
        <v>21</v>
      </c>
    </row>
    <row customHeight="1" ht="49.5">
      <c r="A47" s="1271" t="s">
        <v>350</v>
      </c>
      <c r="B47" s="1271" t="s">
        <v>351</v>
      </c>
      <c r="C47" s="1271" t="s">
        <v>352</v>
      </c>
      <c r="D47" s="1271" t="s">
        <v>353</v>
      </c>
      <c r="E47" s="2307"/>
      <c r="F47" s="2307"/>
      <c r="G47" s="2307"/>
      <c r="H47" s="2307"/>
      <c r="I47" s="2144" t="str">
        <f>S46&amp;".1"</f>
        <v>....1</v>
      </c>
      <c r="J47" s="1271"/>
      <c r="K47" s="1271"/>
      <c r="L47" s="1314" t="s">
        <v>541</v>
      </c>
      <c r="P47" s="2274">
        <v>1</v>
      </c>
      <c r="Q47" s="1955"/>
      <c r="R47" s="360"/>
      <c r="S47" s="1959" t="str">
        <f>$I47</f>
        <v>....1</v>
      </c>
      <c r="T47" s="289" t="s">
        <v>542</v>
      </c>
      <c r="U47" s="304"/>
      <c r="V47" s="2262"/>
      <c r="W47" s="2263"/>
      <c r="X47" s="2263"/>
      <c r="Y47" s="2263"/>
      <c r="Z47" s="2263"/>
      <c r="AA47" s="2263"/>
      <c r="AB47" s="2263"/>
      <c r="AC47" s="2264"/>
      <c r="AD47" s="2262"/>
      <c r="AE47" s="2263"/>
      <c r="AF47" s="2263"/>
      <c r="AG47" s="2263"/>
      <c r="AH47" s="2263"/>
      <c r="AI47" s="2263"/>
      <c r="AJ47" s="2263"/>
      <c r="AK47" s="2263"/>
      <c r="AL47" s="2264"/>
      <c r="AM47" s="1262" t="s">
        <v>543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350</v>
      </c>
      <c r="B48" s="1271" t="s">
        <v>351</v>
      </c>
      <c r="C48" s="1271" t="s">
        <v>352</v>
      </c>
      <c r="D48" s="1271" t="s">
        <v>353</v>
      </c>
      <c r="E48" s="2307"/>
      <c r="F48" s="2307"/>
      <c r="G48" s="2307"/>
      <c r="H48" s="2307"/>
      <c r="I48" s="2118"/>
      <c r="J48" s="2144" t="str">
        <f>I47&amp;".1"</f>
        <v>....1.1</v>
      </c>
      <c r="K48" s="1271"/>
      <c r="L48" s="1314" t="s">
        <v>544</v>
      </c>
      <c r="P48" s="2274"/>
      <c r="Q48" s="2274">
        <v>1</v>
      </c>
      <c r="R48" s="361"/>
      <c r="S48" s="1959" t="str">
        <f>$J48</f>
        <v>....1.1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1628"/>
      <c r="AP48" s="1628" t="str">
        <f>IF(T48="","",T48)</f>
        <v>Группа потребителей</v>
      </c>
      <c r="AQ48" s="1628"/>
      <c r="AR48" s="1628"/>
      <c r="AS48" s="1635">
        <v>21</v>
      </c>
    </row>
    <row customHeight="1" ht="22.049999999999997">
      <c r="A49" s="1271" t="s">
        <v>350</v>
      </c>
      <c r="B49" s="1271" t="s">
        <v>351</v>
      </c>
      <c r="C49" s="1271" t="s">
        <v>352</v>
      </c>
      <c r="D49" s="1271" t="s">
        <v>353</v>
      </c>
      <c r="E49" s="2307"/>
      <c r="F49" s="2307"/>
      <c r="G49" s="2307"/>
      <c r="H49" s="2307"/>
      <c r="I49" s="2118"/>
      <c r="J49" s="2118"/>
      <c r="K49" s="2144" t="str">
        <f>J48&amp;".1"</f>
        <v>....1.1.1</v>
      </c>
      <c r="L49" s="1314" t="s">
        <v>547</v>
      </c>
      <c r="P49" s="2274"/>
      <c r="Q49" s="2274"/>
      <c r="R49" s="361">
        <v>1</v>
      </c>
      <c r="S49" s="1959"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548</v>
      </c>
      <c r="AN49" s="1640">
        <f>STRCHECKDATE(V50:AL50)</f>
      </c>
      <c r="AO49" s="1628"/>
      <c r="AP49" s="1628" t="str">
        <f>IF(T49="","",T49)</f>
        <v/>
      </c>
      <c r="AQ49" s="1628"/>
      <c r="AR49" s="1628"/>
      <c r="AS49" s="1635">
        <v>21</v>
      </c>
    </row>
    <row customHeight="1" ht="1.05">
      <c r="A50" s="1271" t="s">
        <v>350</v>
      </c>
      <c r="B50" s="1271" t="s">
        <v>351</v>
      </c>
      <c r="C50" s="1271" t="s">
        <v>352</v>
      </c>
      <c r="D50" s="1271" t="s">
        <v>353</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350</v>
      </c>
      <c r="B51" s="1271" t="s">
        <v>351</v>
      </c>
      <c r="C51" s="1271" t="s">
        <v>352</v>
      </c>
      <c r="D51" s="1271" t="s">
        <v>353</v>
      </c>
      <c r="E51" s="2307"/>
      <c r="F51" s="2307"/>
      <c r="G51" s="2307"/>
      <c r="H51" s="2307"/>
      <c r="I51" s="2118"/>
      <c r="J51" s="2144"/>
      <c r="K51" s="1271"/>
      <c r="L51" s="1314"/>
      <c r="P51" s="2274"/>
      <c r="Q51" s="2274"/>
      <c r="R51" s="360"/>
      <c r="S51" s="1282"/>
      <c r="T51" s="292" t="s">
        <v>549</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350</v>
      </c>
      <c r="B52" s="1271" t="s">
        <v>351</v>
      </c>
      <c r="C52" s="1271" t="s">
        <v>352</v>
      </c>
      <c r="D52" s="1271" t="s">
        <v>353</v>
      </c>
      <c r="E52" s="2307"/>
      <c r="F52" s="2307"/>
      <c r="G52" s="2307"/>
      <c r="H52" s="2307"/>
      <c r="I52" s="2144"/>
      <c r="J52" s="1271"/>
      <c r="K52" s="1271"/>
      <c r="L52" s="1314"/>
      <c r="P52" s="2274"/>
      <c r="Q52" s="1955"/>
      <c r="R52" s="360"/>
      <c r="S52" s="1282"/>
      <c r="T52" s="291" t="s">
        <v>550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350</v>
      </c>
      <c r="B53" s="1271" t="s">
        <v>351</v>
      </c>
      <c r="C53" s="1271" t="s">
        <v>352</v>
      </c>
      <c r="D53" s="1271" t="s">
        <v>353</v>
      </c>
      <c r="E53" s="2307"/>
      <c r="F53" s="2307"/>
      <c r="G53" s="2307"/>
      <c r="H53" s="2306"/>
      <c r="I53" s="1271"/>
      <c r="J53" s="1271"/>
      <c r="K53" s="1271"/>
      <c r="L53" s="1314"/>
      <c r="M53" s="1614"/>
      <c r="N53" s="1614"/>
      <c r="O53" s="1639"/>
      <c r="P53" s="364"/>
      <c r="Q53" s="379"/>
      <c r="R53" s="359"/>
      <c r="S53" s="1282"/>
      <c r="T53" s="369" t="s">
        <v>551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350</v>
      </c>
      <c r="B54" s="1379" t="s">
        <v>351</v>
      </c>
      <c r="C54" s="1379" t="s">
        <v>352</v>
      </c>
      <c r="D54" s="1378"/>
      <c r="E54" s="2307"/>
      <c r="F54" s="2307"/>
      <c r="G54" s="2306"/>
      <c r="H54" s="1378"/>
      <c r="I54" s="1378"/>
      <c r="J54" s="1378"/>
      <c r="K54" s="1378"/>
      <c r="L54" s="1381"/>
      <c r="M54" s="1382"/>
      <c r="N54" s="1382"/>
      <c r="O54" s="355"/>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350</v>
      </c>
      <c r="B55" s="1379" t="s">
        <v>351</v>
      </c>
      <c r="C55" s="1378"/>
      <c r="D55" s="1378"/>
      <c r="E55" s="2307"/>
      <c r="F55" s="2306"/>
      <c r="G55" s="1378"/>
      <c r="H55" s="1378"/>
      <c r="I55" s="1378"/>
      <c r="J55" s="1378"/>
      <c r="K55" s="1378"/>
      <c r="L55" s="1381"/>
      <c r="M55" s="1383"/>
      <c r="N55" s="1383"/>
      <c r="O55" s="35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350</v>
      </c>
      <c r="B56" s="1379"/>
      <c r="C56" s="1379"/>
      <c r="D56" s="1379"/>
      <c r="E56" s="2306"/>
      <c r="F56" s="1379"/>
      <c r="G56" s="1379"/>
      <c r="H56" s="1379"/>
      <c r="I56" s="1379"/>
      <c r="J56" s="1379"/>
      <c r="K56" s="1379"/>
      <c r="L56" s="1385"/>
      <c r="M56" s="1383"/>
      <c r="N56" s="1383"/>
      <c r="O56" s="355"/>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20B38-C5E8-8BA8-CA68-D796D06210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541</v>
      </c>
      <c r="M6" s="1639"/>
      <c r="P6" s="2274">
        <v>1</v>
      </c>
      <c r="Q6" s="1955"/>
      <c r="R6" s="360"/>
      <c r="S6" s="1959">
        <f>$I6</f>
      </c>
      <c r="T6" s="289" t="s">
        <v>542</v>
      </c>
      <c r="U6" s="304"/>
      <c r="V6" s="2262"/>
      <c r="W6" s="2263"/>
      <c r="X6" s="2263"/>
      <c r="Y6" s="2263"/>
      <c r="Z6" s="2263"/>
      <c r="AA6" s="2263"/>
      <c r="AB6" s="2263"/>
      <c r="AC6" s="2264"/>
      <c r="AD6" s="2262"/>
      <c r="AE6" s="2263"/>
      <c r="AF6" s="2263"/>
      <c r="AG6" s="2263"/>
      <c r="AH6" s="2263"/>
      <c r="AI6" s="2263"/>
      <c r="AJ6" s="2263"/>
      <c r="AK6" s="2263"/>
      <c r="AL6" s="2264"/>
      <c r="AM6" s="1262" t="s">
        <v>543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544</v>
      </c>
      <c r="M7" s="1639"/>
      <c r="N7" s="1635"/>
      <c r="P7" s="2274"/>
      <c r="Q7" s="2274">
        <v>1</v>
      </c>
      <c r="R7" s="361"/>
      <c r="S7" s="1959">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547</v>
      </c>
      <c r="M8" s="1639"/>
      <c r="N8" s="1635"/>
      <c r="O8" s="1635"/>
      <c r="P8" s="2274"/>
      <c r="Q8" s="2274"/>
      <c r="R8" s="361">
        <v>1</v>
      </c>
      <c r="S8" s="1959">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548</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549</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550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551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64</v>
      </c>
      <c r="AJ17" s="2284"/>
      <c r="AK17" s="2285" t="s">
        <v>64</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555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556</v>
      </c>
      <c r="P22" s="1366"/>
      <c r="Q22" s="1375"/>
      <c r="R22" s="1375"/>
      <c r="S22" s="733"/>
      <c r="T22" s="1370" t="s">
        <v>557</v>
      </c>
      <c r="AA22" s="599" t="s">
        <v>558</v>
      </c>
      <c r="AC22" s="599" t="s">
        <v>559</v>
      </c>
      <c r="AD22" s="1370" t="s">
        <v>557</v>
      </c>
      <c r="AI22" s="599" t="s">
        <v>560</v>
      </c>
      <c r="AK22" s="599" t="s">
        <v>559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561</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562</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563</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564</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565</v>
      </c>
      <c r="AD36" s="1639"/>
      <c r="AE36" s="1639"/>
      <c r="AF36" s="1639"/>
      <c r="AG36" s="1639"/>
      <c r="AH36" s="1639"/>
      <c r="AI36" s="1639"/>
      <c r="AJ36" s="1639"/>
      <c r="AK36" s="1646" t="s">
        <v>565</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635">
        <v>14</v>
      </c>
    </row>
    <row customHeight="1" ht="14.699999999999998">
      <c r="Q39" s="380"/>
      <c r="R39" s="380"/>
      <c r="S39" s="2290" t="s">
        <v>87</v>
      </c>
      <c r="T39" s="2226" t="s">
        <v>566</v>
      </c>
      <c r="U39" s="341"/>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635">
        <v>14</v>
      </c>
    </row>
    <row customHeight="1" ht="35.699999999999996">
      <c r="Q40" s="380"/>
      <c r="R40" s="380"/>
      <c r="S40" s="2290"/>
      <c r="T40" s="2226"/>
      <c r="U40" s="1035"/>
      <c r="V40" s="2277" t="s">
        <v>571</v>
      </c>
      <c r="W40" s="2300" t="s">
        <v>572</v>
      </c>
      <c r="X40" s="2279" t="s">
        <v>573</v>
      </c>
      <c r="Y40" s="2280"/>
      <c r="Z40" s="2279" t="s">
        <v>587</v>
      </c>
      <c r="AA40" s="2286"/>
      <c r="AB40" s="2280"/>
      <c r="AC40" s="2295"/>
      <c r="AD40" s="2277" t="s">
        <v>571</v>
      </c>
      <c r="AE40" s="2300" t="s">
        <v>572</v>
      </c>
      <c r="AF40" s="2279" t="s">
        <v>573</v>
      </c>
      <c r="AG40" s="2280"/>
      <c r="AH40" s="2279" t="s">
        <v>574</v>
      </c>
      <c r="AI40" s="2286"/>
      <c r="AJ40" s="2280"/>
      <c r="AK40" s="2295"/>
      <c r="AL40" s="2298"/>
      <c r="AM40" s="2144"/>
      <c r="AS40" s="1635">
        <v>34</v>
      </c>
    </row>
    <row customHeight="1" ht="35.699999999999996">
      <c r="A41" s="1270"/>
      <c r="B41" s="1270" t="s">
        <v>279</v>
      </c>
      <c r="C41" s="1270" t="s">
        <v>280</v>
      </c>
      <c r="D41" s="1270" t="s">
        <v>281</v>
      </c>
      <c r="E41" s="1314" t="s">
        <v>575</v>
      </c>
      <c r="F41" s="1314" t="s">
        <v>576</v>
      </c>
      <c r="G41" s="1314" t="s">
        <v>577</v>
      </c>
      <c r="H41" s="1314" t="s">
        <v>578</v>
      </c>
      <c r="I41" s="1314" t="s">
        <v>579</v>
      </c>
      <c r="J41" s="1314" t="s">
        <v>580</v>
      </c>
      <c r="K41" s="1314" t="s">
        <v>581</v>
      </c>
      <c r="L41" s="1314" t="s">
        <v>556</v>
      </c>
      <c r="Q41" s="380"/>
      <c r="R41" s="380"/>
      <c r="S41" s="2290"/>
      <c r="T41" s="2226"/>
      <c r="U41" s="306"/>
      <c r="V41" s="2278"/>
      <c r="W41" s="2301"/>
      <c r="X41" s="1939" t="s">
        <v>582</v>
      </c>
      <c r="Y41" s="1939" t="s">
        <v>583</v>
      </c>
      <c r="Z41" s="1939" t="s">
        <v>584</v>
      </c>
      <c r="AA41" s="2287" t="s">
        <v>585</v>
      </c>
      <c r="AB41" s="2288"/>
      <c r="AC41" s="2296"/>
      <c r="AD41" s="2278"/>
      <c r="AE41" s="2301"/>
      <c r="AF41" s="1939" t="s">
        <v>582</v>
      </c>
      <c r="AG41" s="1939" t="s">
        <v>583</v>
      </c>
      <c r="AH41" s="1939" t="s">
        <v>584</v>
      </c>
      <c r="AI41" s="2287" t="s">
        <v>585</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105</v>
      </c>
      <c r="T42" s="1259" t="s">
        <v>102</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350</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350</v>
      </c>
      <c r="B44" s="1271" t="s">
        <v>351</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1628"/>
      <c r="AP44" s="1628" t="str">
        <f>IF(T44="","",T44)</f>
        <v>Территория действия тарифа</v>
      </c>
      <c r="AQ44" s="1628"/>
      <c r="AR44" s="1628"/>
      <c r="AS44" s="1635">
        <v>21</v>
      </c>
    </row>
    <row customHeight="1" ht="24">
      <c r="A45" s="1271" t="s">
        <v>350</v>
      </c>
      <c r="B45" s="1271" t="s">
        <v>351</v>
      </c>
      <c r="C45" s="1271" t="s">
        <v>352</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1628"/>
      <c r="AP45" s="1628" t="str">
        <f>IF(T45="","",T45)</f>
        <v>Наименование системы теплоснабжения </v>
      </c>
      <c r="AQ45" s="1628"/>
      <c r="AR45" s="1628"/>
      <c r="AS45" s="1635">
        <v>23</v>
      </c>
    </row>
    <row customHeight="1" ht="22.049999999999997">
      <c r="A46" s="1271" t="s">
        <v>350</v>
      </c>
      <c r="B46" s="1271" t="s">
        <v>351</v>
      </c>
      <c r="C46" s="1271" t="s">
        <v>352</v>
      </c>
      <c r="D46" s="1271" t="s">
        <v>353</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1628"/>
      <c r="AP46" s="1628" t="str">
        <f>IF(T46="","",T46)</f>
        <v>Источник тепловой энергии  </v>
      </c>
      <c r="AQ46" s="1628"/>
      <c r="AR46" s="1628"/>
      <c r="AS46" s="1635">
        <v>21</v>
      </c>
    </row>
    <row customHeight="1" ht="49.5">
      <c r="A47" s="1271" t="s">
        <v>350</v>
      </c>
      <c r="B47" s="1271" t="s">
        <v>351</v>
      </c>
      <c r="C47" s="1271" t="s">
        <v>352</v>
      </c>
      <c r="D47" s="1271" t="s">
        <v>353</v>
      </c>
      <c r="E47" s="2307"/>
      <c r="F47" s="2307"/>
      <c r="G47" s="2307"/>
      <c r="H47" s="2307"/>
      <c r="I47" s="2144" t="str">
        <f>S46&amp;".1"</f>
        <v>....1</v>
      </c>
      <c r="J47" s="1271"/>
      <c r="K47" s="1271"/>
      <c r="L47" s="1314" t="s">
        <v>541</v>
      </c>
      <c r="P47" s="2274">
        <v>1</v>
      </c>
      <c r="Q47" s="1955"/>
      <c r="R47" s="360"/>
      <c r="S47" s="1959" t="str">
        <f>$I47</f>
        <v>....1</v>
      </c>
      <c r="T47" s="289" t="s">
        <v>542</v>
      </c>
      <c r="U47" s="304"/>
      <c r="V47" s="2262"/>
      <c r="W47" s="2263"/>
      <c r="X47" s="2263"/>
      <c r="Y47" s="2263"/>
      <c r="Z47" s="2263"/>
      <c r="AA47" s="2263"/>
      <c r="AB47" s="2263"/>
      <c r="AC47" s="2264"/>
      <c r="AD47" s="2262"/>
      <c r="AE47" s="2263"/>
      <c r="AF47" s="2263"/>
      <c r="AG47" s="2263"/>
      <c r="AH47" s="2263"/>
      <c r="AI47" s="2263"/>
      <c r="AJ47" s="2263"/>
      <c r="AK47" s="2263"/>
      <c r="AL47" s="2264"/>
      <c r="AM47" s="1262" t="s">
        <v>543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350</v>
      </c>
      <c r="B48" s="1271" t="s">
        <v>351</v>
      </c>
      <c r="C48" s="1271" t="s">
        <v>352</v>
      </c>
      <c r="D48" s="1271" t="s">
        <v>353</v>
      </c>
      <c r="E48" s="2307"/>
      <c r="F48" s="2307"/>
      <c r="G48" s="2307"/>
      <c r="H48" s="2307"/>
      <c r="I48" s="2118"/>
      <c r="J48" s="2144" t="str">
        <f>I47&amp;".1"</f>
        <v>....1.1</v>
      </c>
      <c r="K48" s="1271"/>
      <c r="L48" s="1314" t="s">
        <v>544</v>
      </c>
      <c r="P48" s="2274"/>
      <c r="Q48" s="2274">
        <v>1</v>
      </c>
      <c r="R48" s="361"/>
      <c r="S48" s="1959" t="str">
        <f>$J48</f>
        <v>....1.1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1628"/>
      <c r="AP48" s="1628" t="str">
        <f>IF(T48="","",T48)</f>
        <v>Группа потребителей</v>
      </c>
      <c r="AQ48" s="1628"/>
      <c r="AR48" s="1628"/>
      <c r="AS48" s="1635">
        <v>21</v>
      </c>
    </row>
    <row customHeight="1" ht="22.049999999999997">
      <c r="A49" s="1271" t="s">
        <v>350</v>
      </c>
      <c r="B49" s="1271" t="s">
        <v>351</v>
      </c>
      <c r="C49" s="1271" t="s">
        <v>352</v>
      </c>
      <c r="D49" s="1271" t="s">
        <v>353</v>
      </c>
      <c r="E49" s="2307"/>
      <c r="F49" s="2307"/>
      <c r="G49" s="2307"/>
      <c r="H49" s="2307"/>
      <c r="I49" s="2118"/>
      <c r="J49" s="2118"/>
      <c r="K49" s="2144" t="str">
        <f>J48&amp;".1"</f>
        <v>....1.1.1</v>
      </c>
      <c r="L49" s="1314" t="s">
        <v>547</v>
      </c>
      <c r="P49" s="2274"/>
      <c r="Q49" s="2274"/>
      <c r="R49" s="361">
        <v>1</v>
      </c>
      <c r="S49" s="1959" t="str">
        <f>$K49</f>
        <v>....1.1.1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548</v>
      </c>
      <c r="AN49" s="1640">
        <f>STRCHECKDATE(V50:AL50)</f>
      </c>
      <c r="AO49" s="1628"/>
      <c r="AP49" s="1628" t="str">
        <f>IF(T49="","",T49)</f>
        <v/>
      </c>
      <c r="AQ49" s="1628"/>
      <c r="AR49" s="1628"/>
      <c r="AS49" s="1635">
        <v>21</v>
      </c>
    </row>
    <row customHeight="1" ht="1.05">
      <c r="A50" s="1271" t="s">
        <v>350</v>
      </c>
      <c r="B50" s="1271" t="s">
        <v>351</v>
      </c>
      <c r="C50" s="1271" t="s">
        <v>352</v>
      </c>
      <c r="D50" s="1271" t="s">
        <v>353</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350</v>
      </c>
      <c r="B51" s="1271" t="s">
        <v>351</v>
      </c>
      <c r="C51" s="1271" t="s">
        <v>352</v>
      </c>
      <c r="D51" s="1271" t="s">
        <v>353</v>
      </c>
      <c r="E51" s="2307"/>
      <c r="F51" s="2307"/>
      <c r="G51" s="2307"/>
      <c r="H51" s="2307"/>
      <c r="I51" s="2118"/>
      <c r="J51" s="2144"/>
      <c r="K51" s="1271"/>
      <c r="L51" s="1314"/>
      <c r="P51" s="2274"/>
      <c r="Q51" s="2274"/>
      <c r="R51" s="360"/>
      <c r="S51" s="1282"/>
      <c r="T51" s="292" t="s">
        <v>549</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350</v>
      </c>
      <c r="B52" s="1271" t="s">
        <v>351</v>
      </c>
      <c r="C52" s="1271" t="s">
        <v>352</v>
      </c>
      <c r="D52" s="1271" t="s">
        <v>353</v>
      </c>
      <c r="E52" s="2307"/>
      <c r="F52" s="2307"/>
      <c r="G52" s="2307"/>
      <c r="H52" s="2307"/>
      <c r="I52" s="2144"/>
      <c r="J52" s="1271"/>
      <c r="K52" s="1271"/>
      <c r="L52" s="1314"/>
      <c r="P52" s="2274"/>
      <c r="Q52" s="1955"/>
      <c r="R52" s="360"/>
      <c r="S52" s="1282"/>
      <c r="T52" s="291" t="s">
        <v>550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350</v>
      </c>
      <c r="B53" s="1271" t="s">
        <v>351</v>
      </c>
      <c r="C53" s="1271" t="s">
        <v>352</v>
      </c>
      <c r="D53" s="1271" t="s">
        <v>353</v>
      </c>
      <c r="E53" s="2307"/>
      <c r="F53" s="2307"/>
      <c r="G53" s="2307"/>
      <c r="H53" s="2306"/>
      <c r="I53" s="1271"/>
      <c r="J53" s="1271"/>
      <c r="K53" s="1271"/>
      <c r="L53" s="1314"/>
      <c r="M53" s="1614"/>
      <c r="N53" s="1614"/>
      <c r="O53" s="1639"/>
      <c r="P53" s="364"/>
      <c r="Q53" s="379"/>
      <c r="R53" s="359"/>
      <c r="S53" s="1282"/>
      <c r="T53" s="369" t="s">
        <v>551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350</v>
      </c>
      <c r="B54" s="1271" t="s">
        <v>351</v>
      </c>
      <c r="C54" s="1271" t="s">
        <v>352</v>
      </c>
      <c r="D54" s="1975"/>
      <c r="E54" s="2307"/>
      <c r="F54" s="2307"/>
      <c r="G54" s="2306"/>
      <c r="H54" s="1975"/>
      <c r="I54" s="1975"/>
      <c r="J54" s="1975"/>
      <c r="K54" s="1975"/>
      <c r="L54" s="1384"/>
      <c r="M54" s="1614"/>
      <c r="N54" s="1614"/>
      <c r="O54" s="163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350</v>
      </c>
      <c r="B55" s="1271" t="s">
        <v>351</v>
      </c>
      <c r="C55" s="1975"/>
      <c r="D55" s="1975"/>
      <c r="E55" s="2307"/>
      <c r="F55" s="2306"/>
      <c r="G55" s="1975"/>
      <c r="H55" s="1975"/>
      <c r="I55" s="1975"/>
      <c r="J55" s="1975"/>
      <c r="K55" s="1975"/>
      <c r="L55" s="1384"/>
      <c r="M55" s="1976"/>
      <c r="N55" s="1976"/>
      <c r="O55" s="1639"/>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350</v>
      </c>
      <c r="B56" s="1271"/>
      <c r="C56" s="1271"/>
      <c r="D56" s="1271"/>
      <c r="E56" s="2306"/>
      <c r="F56" s="1271"/>
      <c r="G56" s="1271"/>
      <c r="H56" s="1271"/>
      <c r="I56" s="1271"/>
      <c r="J56" s="1271"/>
      <c r="K56" s="1271"/>
      <c r="L56" s="1314"/>
      <c r="M56" s="1976"/>
      <c r="N56" s="1976"/>
      <c r="O56" s="1639"/>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5A9EC-C4B6-AF48-1DAA-19502D3EDE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541</v>
      </c>
      <c r="M6" s="541"/>
      <c r="P6" s="2274">
        <v>1</v>
      </c>
      <c r="Q6" s="1335"/>
      <c r="R6" s="360"/>
      <c r="S6" s="1340">
        <f>$I6</f>
      </c>
      <c r="T6" s="289" t="s">
        <v>542</v>
      </c>
      <c r="U6" s="304"/>
      <c r="V6" s="2262"/>
      <c r="W6" s="2263"/>
      <c r="X6" s="2263"/>
      <c r="Y6" s="2263"/>
      <c r="Z6" s="2263"/>
      <c r="AA6" s="2263"/>
      <c r="AB6" s="2263"/>
      <c r="AC6" s="2264"/>
      <c r="AD6" s="2262"/>
      <c r="AE6" s="2263"/>
      <c r="AF6" s="2263"/>
      <c r="AG6" s="2263"/>
      <c r="AH6" s="2263"/>
      <c r="AI6" s="2263"/>
      <c r="AJ6" s="2263"/>
      <c r="AK6" s="2263"/>
      <c r="AL6" s="2264"/>
      <c r="AM6" s="1262" t="s">
        <v>543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544</v>
      </c>
      <c r="M7" s="541"/>
      <c r="N7" s="1370"/>
      <c r="P7" s="2274"/>
      <c r="Q7" s="2274">
        <v>1</v>
      </c>
      <c r="R7" s="361"/>
      <c r="S7" s="1340">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547</v>
      </c>
      <c r="M8" s="541"/>
      <c r="N8" s="1370"/>
      <c r="O8" s="1370"/>
      <c r="P8" s="2274"/>
      <c r="Q8" s="2274"/>
      <c r="R8" s="361">
        <v>1</v>
      </c>
      <c r="S8" s="1340">
        <f>$K8</f>
      </c>
      <c r="T8" s="1351"/>
      <c r="U8" s="304"/>
      <c r="V8" s="329"/>
      <c r="W8" s="755"/>
      <c r="X8" s="329"/>
      <c r="Y8" s="388"/>
      <c r="Z8" s="2282"/>
      <c r="AA8" s="2124" t="s">
        <v>64</v>
      </c>
      <c r="AB8" s="2282"/>
      <c r="AC8" s="2124" t="s">
        <v>64</v>
      </c>
      <c r="AD8" s="329"/>
      <c r="AE8" s="755"/>
      <c r="AF8" s="329"/>
      <c r="AG8" s="388"/>
      <c r="AH8" s="2282"/>
      <c r="AI8" s="2124" t="s">
        <v>64</v>
      </c>
      <c r="AJ8" s="2282"/>
      <c r="AK8" s="2124" t="s">
        <v>64</v>
      </c>
      <c r="AL8" s="329"/>
      <c r="AM8" s="2270" t="s">
        <v>548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549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550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551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555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556</v>
      </c>
      <c r="P22" s="1366"/>
      <c r="Q22" s="1375"/>
      <c r="R22" s="1375"/>
      <c r="S22" s="733"/>
      <c r="T22" s="1164" t="s">
        <v>557</v>
      </c>
      <c r="AA22" s="190" t="s">
        <v>558</v>
      </c>
      <c r="AC22" s="190" t="s">
        <v>559</v>
      </c>
      <c r="AD22" s="1164" t="s">
        <v>557</v>
      </c>
      <c r="AI22" s="190" t="s">
        <v>560</v>
      </c>
      <c r="AK22" s="190" t="s">
        <v>559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561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562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563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564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565</v>
      </c>
      <c r="AD36" s="330"/>
      <c r="AE36" s="330"/>
      <c r="AF36" s="330"/>
      <c r="AG36" s="330"/>
      <c r="AH36" s="330"/>
      <c r="AI36" s="330"/>
      <c r="AJ36" s="330"/>
      <c r="AK36" s="282" t="s">
        <v>565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159">
        <v>14</v>
      </c>
    </row>
    <row customHeight="1" ht="14.699999999999998">
      <c r="Q39" s="380"/>
      <c r="R39" s="380"/>
      <c r="S39" s="2290" t="s">
        <v>87</v>
      </c>
      <c r="T39" s="2226" t="s">
        <v>566</v>
      </c>
      <c r="U39" s="305"/>
      <c r="V39" s="2291" t="s">
        <v>567</v>
      </c>
      <c r="W39" s="2292"/>
      <c r="X39" s="2308"/>
      <c r="Y39" s="2308"/>
      <c r="Z39" s="2292"/>
      <c r="AA39" s="2292"/>
      <c r="AB39" s="2293"/>
      <c r="AC39" s="2294" t="s">
        <v>568</v>
      </c>
      <c r="AD39" s="2291" t="s">
        <v>567</v>
      </c>
      <c r="AE39" s="2292"/>
      <c r="AF39" s="2308"/>
      <c r="AG39" s="2308"/>
      <c r="AH39" s="2292"/>
      <c r="AI39" s="2292"/>
      <c r="AJ39" s="2293"/>
      <c r="AK39" s="2294" t="s">
        <v>569</v>
      </c>
      <c r="AL39" s="2297" t="s">
        <v>570</v>
      </c>
      <c r="AM39" s="2144"/>
      <c r="AS39" s="1159">
        <v>14</v>
      </c>
    </row>
    <row customHeight="1" ht="24">
      <c r="Q40" s="380"/>
      <c r="R40" s="380"/>
      <c r="S40" s="2290"/>
      <c r="T40" s="2226"/>
      <c r="U40" s="1035"/>
      <c r="V40" s="2309" t="s">
        <v>571</v>
      </c>
      <c r="W40" s="2311" t="s">
        <v>572</v>
      </c>
      <c r="X40" s="1380" t="s">
        <v>573</v>
      </c>
      <c r="Y40" s="1380"/>
      <c r="Z40" s="2286" t="s">
        <v>574</v>
      </c>
      <c r="AA40" s="2286"/>
      <c r="AB40" s="2280"/>
      <c r="AC40" s="2295"/>
      <c r="AD40" s="2309" t="s">
        <v>571</v>
      </c>
      <c r="AE40" s="2311" t="s">
        <v>572</v>
      </c>
      <c r="AF40" s="1380" t="s">
        <v>573</v>
      </c>
      <c r="AG40" s="1380"/>
      <c r="AH40" s="2286" t="s">
        <v>574</v>
      </c>
      <c r="AI40" s="2286"/>
      <c r="AJ40" s="2280"/>
      <c r="AK40" s="2295"/>
      <c r="AL40" s="2298"/>
      <c r="AM40" s="2144"/>
      <c r="AS40" s="1159">
        <v>23</v>
      </c>
    </row>
    <row s="1270" customFormat="1" customHeight="1" ht="24">
      <c r="A41" s="1374"/>
      <c r="B41" s="1374" t="s">
        <v>279</v>
      </c>
      <c r="C41" s="1374" t="s">
        <v>280</v>
      </c>
      <c r="D41" s="1374" t="s">
        <v>281</v>
      </c>
      <c r="E41" s="1368" t="s">
        <v>575</v>
      </c>
      <c r="F41" s="1368" t="s">
        <v>576</v>
      </c>
      <c r="G41" s="1368" t="s">
        <v>577</v>
      </c>
      <c r="H41" s="1368" t="s">
        <v>578</v>
      </c>
      <c r="I41" s="1368" t="s">
        <v>579</v>
      </c>
      <c r="J41" s="1368" t="s">
        <v>580</v>
      </c>
      <c r="K41" s="1368" t="s">
        <v>581</v>
      </c>
      <c r="L41" s="1368" t="s">
        <v>556</v>
      </c>
      <c r="M41" s="1366"/>
      <c r="N41" s="1366"/>
      <c r="O41" s="1366"/>
      <c r="P41" s="1332"/>
      <c r="Q41" s="380"/>
      <c r="R41" s="380"/>
      <c r="S41" s="2290"/>
      <c r="T41" s="2226"/>
      <c r="U41" s="306"/>
      <c r="V41" s="2310"/>
      <c r="W41" s="2312"/>
      <c r="X41" s="1377" t="s">
        <v>582</v>
      </c>
      <c r="Y41" s="1377" t="s">
        <v>583</v>
      </c>
      <c r="Z41" s="1338" t="s">
        <v>584</v>
      </c>
      <c r="AA41" s="2287" t="s">
        <v>585</v>
      </c>
      <c r="AB41" s="2288"/>
      <c r="AC41" s="2296"/>
      <c r="AD41" s="2310"/>
      <c r="AE41" s="2312"/>
      <c r="AF41" s="1377" t="s">
        <v>582</v>
      </c>
      <c r="AG41" s="1377" t="s">
        <v>583</v>
      </c>
      <c r="AH41" s="1338" t="s">
        <v>584</v>
      </c>
      <c r="AI41" s="2287" t="s">
        <v>585</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102</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332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332</v>
      </c>
      <c r="B44" s="1367" t="s">
        <v>333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504"/>
      <c r="AP44" s="504" t="str">
        <f>IF(T44="","",T44)</f>
        <v>Территория действия тарифа</v>
      </c>
      <c r="AQ44" s="504"/>
      <c r="AR44" s="504"/>
      <c r="AS44" s="1159">
        <v>21</v>
      </c>
    </row>
    <row customHeight="1" ht="24">
      <c r="A45" s="1367" t="s">
        <v>332</v>
      </c>
      <c r="B45" s="1367" t="s">
        <v>333</v>
      </c>
      <c r="C45" s="1367" t="s">
        <v>334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504"/>
      <c r="AP45" s="504" t="str">
        <f>IF(T45="","",T45)</f>
        <v>Наименование системы теплоснабжения </v>
      </c>
      <c r="AQ45" s="504"/>
      <c r="AR45" s="504"/>
      <c r="AS45" s="1159">
        <v>23</v>
      </c>
    </row>
    <row customHeight="1" ht="22.049999999999997">
      <c r="A46" s="1367" t="s">
        <v>332</v>
      </c>
      <c r="B46" s="1367" t="s">
        <v>333</v>
      </c>
      <c r="C46" s="1367" t="s">
        <v>334</v>
      </c>
      <c r="D46" s="1367" t="s">
        <v>335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504"/>
      <c r="AP46" s="504" t="str">
        <f>IF(T46="","",T46)</f>
        <v>Источник тепловой энергии  </v>
      </c>
      <c r="AQ46" s="504"/>
      <c r="AR46" s="504"/>
      <c r="AS46" s="1159">
        <v>21</v>
      </c>
    </row>
    <row customHeight="1" ht="49.5">
      <c r="A47" s="1367" t="s">
        <v>332</v>
      </c>
      <c r="B47" s="1367" t="s">
        <v>333</v>
      </c>
      <c r="C47" s="1367" t="s">
        <v>334</v>
      </c>
      <c r="D47" s="1367" t="s">
        <v>335</v>
      </c>
      <c r="E47" s="2276"/>
      <c r="F47" s="2276"/>
      <c r="G47" s="2276"/>
      <c r="H47" s="2276"/>
      <c r="I47" s="2273" t="str">
        <f>S46&amp;".1"</f>
        <v>....1</v>
      </c>
      <c r="J47" s="1367"/>
      <c r="K47" s="1367"/>
      <c r="L47" s="1368" t="s">
        <v>541</v>
      </c>
      <c r="P47" s="2274">
        <v>1</v>
      </c>
      <c r="Q47" s="1335"/>
      <c r="R47" s="360"/>
      <c r="S47" s="1340" t="str">
        <f>$I47</f>
        <v>....1</v>
      </c>
      <c r="T47" s="289" t="s">
        <v>542</v>
      </c>
      <c r="U47" s="304"/>
      <c r="V47" s="2262"/>
      <c r="W47" s="2263"/>
      <c r="X47" s="2263"/>
      <c r="Y47" s="2263"/>
      <c r="Z47" s="2263"/>
      <c r="AA47" s="2263"/>
      <c r="AB47" s="2263"/>
      <c r="AC47" s="2264"/>
      <c r="AD47" s="2262"/>
      <c r="AE47" s="2263"/>
      <c r="AF47" s="2263"/>
      <c r="AG47" s="2263"/>
      <c r="AH47" s="2263"/>
      <c r="AI47" s="2263"/>
      <c r="AJ47" s="2263"/>
      <c r="AK47" s="2263"/>
      <c r="AL47" s="2264"/>
      <c r="AM47" s="1262" t="s">
        <v>543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332</v>
      </c>
      <c r="B48" s="1367" t="s">
        <v>333</v>
      </c>
      <c r="C48" s="1367" t="s">
        <v>334</v>
      </c>
      <c r="D48" s="1367" t="s">
        <v>335</v>
      </c>
      <c r="E48" s="2276"/>
      <c r="F48" s="2276"/>
      <c r="G48" s="2276"/>
      <c r="H48" s="2276"/>
      <c r="I48" s="2303"/>
      <c r="J48" s="2273" t="str">
        <f>I47&amp;".1"</f>
        <v>....1.1</v>
      </c>
      <c r="K48" s="1367"/>
      <c r="L48" s="1368" t="s">
        <v>544</v>
      </c>
      <c r="P48" s="2274"/>
      <c r="Q48" s="2274">
        <v>1</v>
      </c>
      <c r="R48" s="361"/>
      <c r="S48" s="1340" t="str">
        <f>$J48</f>
        <v>....1.1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504"/>
      <c r="AP48" s="504" t="str">
        <f>IF(T48="","",T48)</f>
        <v>Группа потребителей</v>
      </c>
      <c r="AQ48" s="504"/>
      <c r="AR48" s="504"/>
      <c r="AS48" s="1159">
        <v>21</v>
      </c>
    </row>
    <row customHeight="1" ht="22.049999999999997">
      <c r="A49" s="1367" t="s">
        <v>332</v>
      </c>
      <c r="B49" s="1367" t="s">
        <v>333</v>
      </c>
      <c r="C49" s="1367" t="s">
        <v>334</v>
      </c>
      <c r="D49" s="1367" t="s">
        <v>335</v>
      </c>
      <c r="E49" s="2276"/>
      <c r="F49" s="2276"/>
      <c r="G49" s="2276"/>
      <c r="H49" s="2276"/>
      <c r="I49" s="2303"/>
      <c r="J49" s="2303"/>
      <c r="K49" s="2273" t="str">
        <f>J48&amp;".1"</f>
        <v>....1.1.1</v>
      </c>
      <c r="L49" s="1368" t="s">
        <v>547</v>
      </c>
      <c r="P49" s="2274"/>
      <c r="Q49" s="2274"/>
      <c r="R49" s="361">
        <v>1</v>
      </c>
      <c r="S49" s="1340" t="str">
        <f>$K49</f>
        <v>....1.1.1</v>
      </c>
      <c r="T49" s="1351"/>
      <c r="U49" s="304"/>
      <c r="V49" s="329"/>
      <c r="W49" s="755"/>
      <c r="X49" s="329"/>
      <c r="Y49" s="388"/>
      <c r="Z49" s="2282"/>
      <c r="AA49" s="2124" t="s">
        <v>64</v>
      </c>
      <c r="AB49" s="2282"/>
      <c r="AC49" s="2124" t="s">
        <v>64</v>
      </c>
      <c r="AD49" s="329"/>
      <c r="AE49" s="755"/>
      <c r="AF49" s="329"/>
      <c r="AG49" s="388"/>
      <c r="AH49" s="2282"/>
      <c r="AI49" s="2124" t="s">
        <v>64</v>
      </c>
      <c r="AJ49" s="2304"/>
      <c r="AK49" s="2124" t="s">
        <v>64</v>
      </c>
      <c r="AL49" s="1352"/>
      <c r="AM49" s="2270" t="s">
        <v>548</v>
      </c>
      <c r="AN49" s="515">
        <f>STRCHECKDATE(V50:AL50)</f>
      </c>
      <c r="AO49" s="504"/>
      <c r="AP49" s="504" t="str">
        <f>IF(T49="","",T49)</f>
        <v/>
      </c>
      <c r="AQ49" s="504"/>
      <c r="AR49" s="504"/>
      <c r="AS49" s="1159">
        <v>21</v>
      </c>
    </row>
    <row customHeight="1" ht="1.05">
      <c r="A50" s="1367" t="s">
        <v>332</v>
      </c>
      <c r="B50" s="1367" t="s">
        <v>333</v>
      </c>
      <c r="C50" s="1367" t="s">
        <v>334</v>
      </c>
      <c r="D50" s="1367" t="s">
        <v>335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332</v>
      </c>
      <c r="B51" s="1367" t="s">
        <v>333</v>
      </c>
      <c r="C51" s="1367" t="s">
        <v>334</v>
      </c>
      <c r="D51" s="1367" t="s">
        <v>335</v>
      </c>
      <c r="E51" s="2276"/>
      <c r="F51" s="2276"/>
      <c r="G51" s="2276"/>
      <c r="H51" s="2276"/>
      <c r="I51" s="2303"/>
      <c r="J51" s="2273"/>
      <c r="K51" s="1367"/>
      <c r="L51" s="1368"/>
      <c r="P51" s="2274"/>
      <c r="Q51" s="2274"/>
      <c r="R51" s="360"/>
      <c r="S51" s="1282"/>
      <c r="T51" s="292" t="s">
        <v>549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332</v>
      </c>
      <c r="B52" s="1367" t="s">
        <v>333</v>
      </c>
      <c r="C52" s="1367" t="s">
        <v>334</v>
      </c>
      <c r="D52" s="1367" t="s">
        <v>335</v>
      </c>
      <c r="E52" s="2276"/>
      <c r="F52" s="2276"/>
      <c r="G52" s="2276"/>
      <c r="H52" s="2276"/>
      <c r="I52" s="2273"/>
      <c r="J52" s="1367"/>
      <c r="K52" s="1367"/>
      <c r="L52" s="1368"/>
      <c r="P52" s="2274"/>
      <c r="Q52" s="1335"/>
      <c r="R52" s="360"/>
      <c r="S52" s="1282"/>
      <c r="T52" s="291" t="s">
        <v>550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332</v>
      </c>
      <c r="B53" s="1367" t="s">
        <v>333</v>
      </c>
      <c r="C53" s="1367" t="s">
        <v>334</v>
      </c>
      <c r="D53" s="1367" t="s">
        <v>335</v>
      </c>
      <c r="E53" s="2276"/>
      <c r="F53" s="2276"/>
      <c r="G53" s="2276"/>
      <c r="H53" s="2275"/>
      <c r="I53" s="1367"/>
      <c r="J53" s="1367"/>
      <c r="K53" s="1367"/>
      <c r="L53" s="1368"/>
      <c r="M53" s="1369"/>
      <c r="N53" s="1369"/>
      <c r="O53" s="541"/>
      <c r="P53" s="364"/>
      <c r="Q53" s="379"/>
      <c r="R53" s="359"/>
      <c r="S53" s="1282"/>
      <c r="T53" s="369" t="s">
        <v>551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332</v>
      </c>
      <c r="B54" s="1347" t="s">
        <v>333</v>
      </c>
      <c r="C54" s="1347" t="s">
        <v>334</v>
      </c>
      <c r="D54" s="1318"/>
      <c r="E54" s="2276"/>
      <c r="F54" s="2276"/>
      <c r="G54" s="2275"/>
      <c r="H54" s="1318"/>
      <c r="I54" s="1318"/>
      <c r="J54" s="1318"/>
      <c r="K54" s="1318"/>
      <c r="L54" s="1343"/>
      <c r="M54" s="1319"/>
      <c r="N54" s="131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332</v>
      </c>
      <c r="B55" s="1347" t="s">
        <v>333</v>
      </c>
      <c r="C55" s="1318"/>
      <c r="D55" s="1318"/>
      <c r="E55" s="2276"/>
      <c r="F55" s="2275"/>
      <c r="G55" s="1318"/>
      <c r="H55" s="1318"/>
      <c r="I55" s="1318"/>
      <c r="J55" s="1318"/>
      <c r="K55" s="1318"/>
      <c r="L55" s="1343"/>
      <c r="M55" s="1325"/>
      <c r="N55" s="132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332</v>
      </c>
      <c r="B56" s="1347"/>
      <c r="C56" s="1347"/>
      <c r="D56" s="1347"/>
      <c r="E56" s="2275"/>
      <c r="F56" s="1347"/>
      <c r="G56" s="1347"/>
      <c r="H56" s="1347"/>
      <c r="I56" s="1347"/>
      <c r="J56" s="1347"/>
      <c r="K56" s="1347"/>
      <c r="L56" s="1350"/>
      <c r="M56" s="1325"/>
      <c r="N56" s="1325"/>
      <c r="O56" s="522"/>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1338-9628-385A-8308-D9691B3014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541</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544</v>
      </c>
      <c r="M7" s="541"/>
      <c r="N7" s="1370"/>
      <c r="P7" s="2274"/>
      <c r="Q7" s="2274">
        <v>1</v>
      </c>
      <c r="R7" s="361"/>
      <c r="S7" s="1340">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547</v>
      </c>
      <c r="M8" s="541"/>
      <c r="N8" s="1370"/>
      <c r="O8" s="1370"/>
      <c r="P8" s="2274"/>
      <c r="Q8" s="2274"/>
      <c r="R8" s="361">
        <v>1</v>
      </c>
      <c r="S8" s="1340">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548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549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550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555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556</v>
      </c>
      <c r="P22" s="1366"/>
      <c r="Q22" s="1375"/>
      <c r="R22" s="1375"/>
      <c r="S22" s="733"/>
      <c r="T22" s="1164" t="s">
        <v>557</v>
      </c>
      <c r="AA22" s="190" t="s">
        <v>558</v>
      </c>
      <c r="AC22" s="190" t="s">
        <v>559</v>
      </c>
      <c r="AD22" s="1164" t="s">
        <v>557</v>
      </c>
      <c r="AI22" s="190" t="s">
        <v>560</v>
      </c>
      <c r="AK22" s="190" t="s">
        <v>559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561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562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563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564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565</v>
      </c>
      <c r="AD36" s="330"/>
      <c r="AE36" s="330"/>
      <c r="AF36" s="330"/>
      <c r="AG36" s="330"/>
      <c r="AH36" s="330"/>
      <c r="AI36" s="330"/>
      <c r="AJ36" s="330"/>
      <c r="AK36" s="282" t="s">
        <v>565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159">
        <v>14</v>
      </c>
    </row>
    <row customHeight="1" ht="14.699999999999998">
      <c r="Q39" s="380"/>
      <c r="R39" s="380"/>
      <c r="S39" s="2290" t="s">
        <v>87</v>
      </c>
      <c r="T39" s="2226" t="s">
        <v>566</v>
      </c>
      <c r="U39" s="305"/>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159">
        <v>14</v>
      </c>
    </row>
    <row customHeight="1" ht="35.699999999999996">
      <c r="Q40" s="380"/>
      <c r="R40" s="380"/>
      <c r="S40" s="2290"/>
      <c r="T40" s="2226"/>
      <c r="U40" s="1035"/>
      <c r="V40" s="2277" t="s">
        <v>571</v>
      </c>
      <c r="W40" s="2300"/>
      <c r="X40" s="2279" t="s">
        <v>573</v>
      </c>
      <c r="Y40" s="2280"/>
      <c r="Z40" s="2279" t="s">
        <v>574</v>
      </c>
      <c r="AA40" s="2286"/>
      <c r="AB40" s="2280"/>
      <c r="AC40" s="2295"/>
      <c r="AD40" s="2277" t="s">
        <v>588</v>
      </c>
      <c r="AE40" s="2300"/>
      <c r="AF40" s="2279" t="s">
        <v>573</v>
      </c>
      <c r="AG40" s="2280"/>
      <c r="AH40" s="2279" t="s">
        <v>574</v>
      </c>
      <c r="AI40" s="2286"/>
      <c r="AJ40" s="2280"/>
      <c r="AK40" s="2295"/>
      <c r="AL40" s="2298"/>
      <c r="AM40" s="2144"/>
      <c r="AS40" s="1159">
        <v>34</v>
      </c>
    </row>
    <row customHeight="1" ht="35.699999999999996">
      <c r="A41" s="1374"/>
      <c r="B41" s="1374" t="s">
        <v>279</v>
      </c>
      <c r="C41" s="1374" t="s">
        <v>280</v>
      </c>
      <c r="D41" s="1374" t="s">
        <v>281</v>
      </c>
      <c r="E41" s="1368" t="s">
        <v>575</v>
      </c>
      <c r="F41" s="1368" t="s">
        <v>576</v>
      </c>
      <c r="G41" s="1368" t="s">
        <v>577</v>
      </c>
      <c r="H41" s="1368" t="s">
        <v>578</v>
      </c>
      <c r="I41" s="1368" t="s">
        <v>579</v>
      </c>
      <c r="J41" s="1368" t="s">
        <v>580</v>
      </c>
      <c r="K41" s="1368" t="s">
        <v>581</v>
      </c>
      <c r="L41" s="1368" t="s">
        <v>556</v>
      </c>
      <c r="Q41" s="380"/>
      <c r="R41" s="380"/>
      <c r="S41" s="2290"/>
      <c r="T41" s="2226"/>
      <c r="U41" s="306"/>
      <c r="V41" s="2278"/>
      <c r="W41" s="2301"/>
      <c r="X41" s="1226" t="s">
        <v>582</v>
      </c>
      <c r="Y41" s="1226" t="s">
        <v>583</v>
      </c>
      <c r="Z41" s="1342" t="s">
        <v>584</v>
      </c>
      <c r="AA41" s="2287" t="s">
        <v>585</v>
      </c>
      <c r="AB41" s="2288"/>
      <c r="AC41" s="2296"/>
      <c r="AD41" s="2278"/>
      <c r="AE41" s="2301"/>
      <c r="AF41" s="1226" t="s">
        <v>582</v>
      </c>
      <c r="AG41" s="1226" t="s">
        <v>583</v>
      </c>
      <c r="AH41" s="1342" t="s">
        <v>584</v>
      </c>
      <c r="AI41" s="2287" t="s">
        <v>585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308</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308</v>
      </c>
      <c r="B44" s="1367" t="s">
        <v>309</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504"/>
      <c r="AP44" s="504" t="str">
        <f>IF(T44="","",T44)</f>
        <v>Территория действия тарифа</v>
      </c>
      <c r="AQ44" s="504"/>
      <c r="AR44" s="504"/>
      <c r="AS44" s="1159">
        <v>21</v>
      </c>
    </row>
    <row customHeight="1" ht="24">
      <c r="A45" s="1367" t="s">
        <v>308</v>
      </c>
      <c r="B45" s="1367" t="s">
        <v>309</v>
      </c>
      <c r="C45" s="1367" t="s">
        <v>310</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504"/>
      <c r="AP45" s="504" t="str">
        <f>IF(T45="","",T45)</f>
        <v>Наименование системы теплоснабжения </v>
      </c>
      <c r="AQ45" s="504"/>
      <c r="AR45" s="504"/>
      <c r="AS45" s="1159">
        <v>23</v>
      </c>
    </row>
    <row customHeight="1" ht="22.049999999999997">
      <c r="A46" s="1367" t="s">
        <v>308</v>
      </c>
      <c r="B46" s="1367" t="s">
        <v>309</v>
      </c>
      <c r="C46" s="1367" t="s">
        <v>310</v>
      </c>
      <c r="D46" s="1367" t="s">
        <v>311</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504"/>
      <c r="AP46" s="504" t="str">
        <f>IF(T46="","",T46)</f>
        <v>Источник тепловой энергии  </v>
      </c>
      <c r="AQ46" s="504"/>
      <c r="AR46" s="504"/>
      <c r="AS46" s="1159">
        <v>21</v>
      </c>
    </row>
    <row s="1646" customFormat="1" customHeight="1" ht="0">
      <c r="A47" s="1347" t="s">
        <v>308</v>
      </c>
      <c r="B47" s="1347" t="s">
        <v>309</v>
      </c>
      <c r="C47" s="1347" t="s">
        <v>310</v>
      </c>
      <c r="D47" s="1347" t="s">
        <v>311</v>
      </c>
      <c r="E47" s="2276"/>
      <c r="F47" s="2276"/>
      <c r="G47" s="2276"/>
      <c r="H47" s="2276"/>
      <c r="I47" s="2273" t="str">
        <f>S46&amp;".1"</f>
        <v>....1</v>
      </c>
      <c r="J47" s="1347"/>
      <c r="K47" s="1347"/>
      <c r="L47" s="1350" t="s">
        <v>541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308</v>
      </c>
      <c r="B48" s="1367" t="s">
        <v>309</v>
      </c>
      <c r="C48" s="1367" t="s">
        <v>310</v>
      </c>
      <c r="D48" s="1367" t="s">
        <v>311</v>
      </c>
      <c r="E48" s="2276"/>
      <c r="F48" s="2276"/>
      <c r="G48" s="2276"/>
      <c r="H48" s="2276"/>
      <c r="I48" s="2303"/>
      <c r="J48" s="2273" t="str">
        <f>S46&amp;".1"</f>
        <v>....1</v>
      </c>
      <c r="K48" s="1367"/>
      <c r="L48" s="1368" t="s">
        <v>544</v>
      </c>
      <c r="P48" s="2274"/>
      <c r="Q48" s="2274">
        <v>1</v>
      </c>
      <c r="R48" s="361"/>
      <c r="S48" s="1340" t="str">
        <f>$J48</f>
        <v>....1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504"/>
      <c r="AP48" s="504" t="str">
        <f>IF(T48="","",T48)</f>
        <v>Группа потребителей</v>
      </c>
      <c r="AQ48" s="504"/>
      <c r="AR48" s="504"/>
      <c r="AS48" s="1159">
        <v>21</v>
      </c>
    </row>
    <row customHeight="1" ht="22.049999999999997">
      <c r="A49" s="1367" t="s">
        <v>308</v>
      </c>
      <c r="B49" s="1367" t="s">
        <v>309</v>
      </c>
      <c r="C49" s="1367" t="s">
        <v>310</v>
      </c>
      <c r="D49" s="1367" t="s">
        <v>311</v>
      </c>
      <c r="E49" s="2276"/>
      <c r="F49" s="2276"/>
      <c r="G49" s="2276"/>
      <c r="H49" s="2276"/>
      <c r="I49" s="2303"/>
      <c r="J49" s="2303"/>
      <c r="K49" s="2273" t="str">
        <f>J48&amp;".1"</f>
        <v>....1.1</v>
      </c>
      <c r="L49" s="1368" t="s">
        <v>547</v>
      </c>
      <c r="P49" s="2274"/>
      <c r="Q49" s="2274"/>
      <c r="R49" s="361">
        <v>1</v>
      </c>
      <c r="S49" s="1340" t="str">
        <f>$K49</f>
        <v>....1.1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589</v>
      </c>
      <c r="AN49" s="515">
        <f>STRCHECKDATE(V50:AL50)</f>
      </c>
      <c r="AO49" s="504"/>
      <c r="AP49" s="504" t="str">
        <f>IF(T49="","",T49)</f>
        <v/>
      </c>
      <c r="AQ49" s="504"/>
      <c r="AR49" s="504"/>
      <c r="AS49" s="1159">
        <v>21</v>
      </c>
    </row>
    <row customHeight="1" ht="1.05">
      <c r="A50" s="1367" t="s">
        <v>308</v>
      </c>
      <c r="B50" s="1367" t="s">
        <v>309</v>
      </c>
      <c r="C50" s="1367" t="s">
        <v>310</v>
      </c>
      <c r="D50" s="1367" t="s">
        <v>311</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308</v>
      </c>
      <c r="B51" s="1367" t="s">
        <v>309</v>
      </c>
      <c r="C51" s="1367" t="s">
        <v>310</v>
      </c>
      <c r="D51" s="1367" t="s">
        <v>311</v>
      </c>
      <c r="E51" s="2276"/>
      <c r="F51" s="2276"/>
      <c r="G51" s="2276"/>
      <c r="H51" s="2276"/>
      <c r="I51" s="2303"/>
      <c r="J51" s="2273"/>
      <c r="K51" s="1367"/>
      <c r="L51" s="1368"/>
      <c r="P51" s="2274"/>
      <c r="Q51" s="2274"/>
      <c r="R51" s="360"/>
      <c r="S51" s="1282"/>
      <c r="T51" s="291" t="s">
        <v>549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308</v>
      </c>
      <c r="B52" s="1367" t="s">
        <v>309</v>
      </c>
      <c r="C52" s="1367" t="s">
        <v>310</v>
      </c>
      <c r="D52" s="1367" t="s">
        <v>311</v>
      </c>
      <c r="E52" s="2276"/>
      <c r="F52" s="2276"/>
      <c r="G52" s="2276"/>
      <c r="H52" s="2276"/>
      <c r="I52" s="2273"/>
      <c r="J52" s="1367"/>
      <c r="K52" s="1367"/>
      <c r="L52" s="1368"/>
      <c r="P52" s="2274"/>
      <c r="Q52" s="1335"/>
      <c r="R52" s="360"/>
      <c r="S52" s="1282"/>
      <c r="T52" s="369" t="s">
        <v>550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308</v>
      </c>
      <c r="B53" s="1367" t="s">
        <v>309</v>
      </c>
      <c r="C53" s="1367" t="s">
        <v>310</v>
      </c>
      <c r="D53" s="1367" t="s">
        <v>311</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308</v>
      </c>
      <c r="B54" s="1347" t="s">
        <v>309</v>
      </c>
      <c r="C54" s="1347" t="s">
        <v>310</v>
      </c>
      <c r="D54" s="1318"/>
      <c r="E54" s="2276"/>
      <c r="F54" s="2276"/>
      <c r="G54" s="2275"/>
      <c r="H54" s="1318"/>
      <c r="I54" s="1318"/>
      <c r="J54" s="1318"/>
      <c r="K54" s="1318"/>
      <c r="L54" s="1343"/>
      <c r="M54" s="1319"/>
      <c r="N54" s="131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308</v>
      </c>
      <c r="B55" s="1347" t="s">
        <v>309</v>
      </c>
      <c r="C55" s="1318"/>
      <c r="D55" s="1318"/>
      <c r="E55" s="2276"/>
      <c r="F55" s="2275"/>
      <c r="G55" s="1318"/>
      <c r="H55" s="1318"/>
      <c r="I55" s="1318"/>
      <c r="J55" s="1318"/>
      <c r="K55" s="1318"/>
      <c r="L55" s="1343"/>
      <c r="M55" s="1325"/>
      <c r="N55" s="132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308</v>
      </c>
      <c r="B56" s="1347"/>
      <c r="C56" s="1347"/>
      <c r="D56" s="1347"/>
      <c r="E56" s="2275"/>
      <c r="F56" s="1347"/>
      <c r="G56" s="1347"/>
      <c r="H56" s="1347"/>
      <c r="I56" s="1347"/>
      <c r="J56" s="1347"/>
      <c r="K56" s="1347"/>
      <c r="L56" s="1350"/>
      <c r="M56" s="1325"/>
      <c r="N56" s="1325"/>
      <c r="O56" s="522"/>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A86E1-2F21-B588-363D-515E32FE6B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537</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538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539</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540</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541</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544</v>
      </c>
      <c r="M7" s="541"/>
      <c r="N7" s="1370"/>
      <c r="P7" s="2274"/>
      <c r="Q7" s="2274">
        <v>1</v>
      </c>
      <c r="R7" s="1646"/>
      <c r="S7" s="2008">
        <f>$J7</f>
      </c>
      <c r="T7" s="290" t="s">
        <v>545</v>
      </c>
      <c r="U7" s="304"/>
      <c r="V7" s="2322"/>
      <c r="W7" s="2322"/>
      <c r="X7" s="2322"/>
      <c r="Y7" s="2322"/>
      <c r="Z7" s="2322"/>
      <c r="AA7" s="2322"/>
      <c r="AB7" s="2322"/>
      <c r="AC7" s="2322"/>
      <c r="AD7" s="2322"/>
      <c r="AE7" s="2322"/>
      <c r="AF7" s="2322"/>
      <c r="AG7" s="2322"/>
      <c r="AH7" s="2322"/>
      <c r="AI7" s="2322"/>
      <c r="AJ7" s="2322"/>
      <c r="AK7" s="2322"/>
      <c r="AL7" s="2322"/>
      <c r="AM7" s="2011" t="s">
        <v>546</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547</v>
      </c>
      <c r="M8" s="541"/>
      <c r="N8" s="1370"/>
      <c r="O8" s="1370"/>
      <c r="P8" s="2274"/>
      <c r="Q8" s="2274"/>
      <c r="R8" s="361">
        <v>1</v>
      </c>
      <c r="S8" s="2010">
        <f>$K8</f>
      </c>
      <c r="T8" s="2015"/>
      <c r="U8" s="2016"/>
      <c r="V8" s="2017"/>
      <c r="W8" s="1353"/>
      <c r="X8" s="2017"/>
      <c r="Y8" s="2018"/>
      <c r="Z8" s="2323"/>
      <c r="AA8" s="2129" t="s">
        <v>64</v>
      </c>
      <c r="AB8" s="2323"/>
      <c r="AC8" s="2129" t="s">
        <v>64</v>
      </c>
      <c r="AD8" s="2017"/>
      <c r="AE8" s="1353"/>
      <c r="AF8" s="2017"/>
      <c r="AG8" s="2018"/>
      <c r="AH8" s="2323"/>
      <c r="AI8" s="2129" t="s">
        <v>64</v>
      </c>
      <c r="AJ8" s="2323"/>
      <c r="AK8" s="2129" t="s">
        <v>64</v>
      </c>
      <c r="AL8" s="1353"/>
      <c r="AM8" s="2270" t="s">
        <v>548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549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550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555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556</v>
      </c>
      <c r="P22" s="1366"/>
      <c r="Q22" s="1375"/>
      <c r="R22" s="1375"/>
      <c r="S22" s="733"/>
      <c r="T22" s="1164" t="s">
        <v>557</v>
      </c>
      <c r="AA22" s="190" t="s">
        <v>558</v>
      </c>
      <c r="AC22" s="190" t="s">
        <v>559</v>
      </c>
      <c r="AD22" s="1164" t="s">
        <v>557</v>
      </c>
      <c r="AI22" s="190" t="s">
        <v>560</v>
      </c>
      <c r="AK22" s="190" t="s">
        <v>559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561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562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563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564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565</v>
      </c>
      <c r="AD36" s="330"/>
      <c r="AE36" s="330"/>
      <c r="AF36" s="330"/>
      <c r="AG36" s="330"/>
      <c r="AH36" s="330"/>
      <c r="AI36" s="330"/>
      <c r="AJ36" s="330"/>
      <c r="AK36" s="282" t="s">
        <v>565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159">
        <v>14</v>
      </c>
    </row>
    <row customHeight="1" ht="14.699999999999998">
      <c r="Q39" s="380"/>
      <c r="R39" s="380"/>
      <c r="S39" s="2290" t="s">
        <v>87</v>
      </c>
      <c r="T39" s="2226" t="s">
        <v>566</v>
      </c>
      <c r="U39" s="305"/>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159">
        <v>14</v>
      </c>
    </row>
    <row customHeight="1" ht="35.699999999999996">
      <c r="Q40" s="380"/>
      <c r="R40" s="380"/>
      <c r="S40" s="2290"/>
      <c r="T40" s="2226"/>
      <c r="U40" s="1035"/>
      <c r="V40" s="2277" t="s">
        <v>571</v>
      </c>
      <c r="W40" s="2300"/>
      <c r="X40" s="2279" t="s">
        <v>573</v>
      </c>
      <c r="Y40" s="2280"/>
      <c r="Z40" s="2279" t="s">
        <v>574</v>
      </c>
      <c r="AA40" s="2286"/>
      <c r="AB40" s="2280"/>
      <c r="AC40" s="2295"/>
      <c r="AD40" s="2277" t="s">
        <v>588</v>
      </c>
      <c r="AE40" s="2300"/>
      <c r="AF40" s="2279" t="s">
        <v>573</v>
      </c>
      <c r="AG40" s="2280"/>
      <c r="AH40" s="2279" t="s">
        <v>574</v>
      </c>
      <c r="AI40" s="2286"/>
      <c r="AJ40" s="2280"/>
      <c r="AK40" s="2295"/>
      <c r="AL40" s="2298"/>
      <c r="AM40" s="2144"/>
      <c r="AS40" s="1159">
        <v>34</v>
      </c>
    </row>
    <row customHeight="1" ht="35.699999999999996">
      <c r="A41" s="1374"/>
      <c r="B41" s="1374" t="s">
        <v>279</v>
      </c>
      <c r="C41" s="1374" t="s">
        <v>280</v>
      </c>
      <c r="D41" s="1374" t="s">
        <v>281</v>
      </c>
      <c r="E41" s="1368" t="s">
        <v>575</v>
      </c>
      <c r="F41" s="1368" t="s">
        <v>576</v>
      </c>
      <c r="G41" s="1368" t="s">
        <v>577</v>
      </c>
      <c r="H41" s="1368" t="s">
        <v>578</v>
      </c>
      <c r="I41" s="1368" t="s">
        <v>579</v>
      </c>
      <c r="J41" s="1368" t="s">
        <v>580</v>
      </c>
      <c r="K41" s="1368" t="s">
        <v>581</v>
      </c>
      <c r="L41" s="1368" t="s">
        <v>556</v>
      </c>
      <c r="Q41" s="380"/>
      <c r="R41" s="380"/>
      <c r="S41" s="2290"/>
      <c r="T41" s="2226"/>
      <c r="U41" s="306"/>
      <c r="V41" s="2278"/>
      <c r="W41" s="2301"/>
      <c r="X41" s="1226" t="s">
        <v>582</v>
      </c>
      <c r="Y41" s="1226" t="s">
        <v>583</v>
      </c>
      <c r="Z41" s="1342" t="s">
        <v>584</v>
      </c>
      <c r="AA41" s="2287" t="s">
        <v>585</v>
      </c>
      <c r="AB41" s="2288"/>
      <c r="AC41" s="2296"/>
      <c r="AD41" s="2278"/>
      <c r="AE41" s="2301"/>
      <c r="AF41" s="1226" t="s">
        <v>582</v>
      </c>
      <c r="AG41" s="1226" t="s">
        <v>583</v>
      </c>
      <c r="AH41" s="1342" t="s">
        <v>584</v>
      </c>
      <c r="AI41" s="2287" t="s">
        <v>585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320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320</v>
      </c>
      <c r="B44" s="1367" t="s">
        <v>321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504"/>
      <c r="AP44" s="504" t="str">
        <f>IF(T44="","",T44)</f>
        <v>Территория действия тарифа</v>
      </c>
      <c r="AQ44" s="504"/>
      <c r="AR44" s="504"/>
      <c r="AS44" s="1159">
        <v>21</v>
      </c>
    </row>
    <row customHeight="1" ht="24">
      <c r="A45" s="1367" t="s">
        <v>320</v>
      </c>
      <c r="B45" s="1367" t="s">
        <v>321</v>
      </c>
      <c r="C45" s="1367" t="s">
        <v>322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504"/>
      <c r="AP45" s="504" t="str">
        <f>IF(T45="","",T45)</f>
        <v>Наименование системы теплоснабжения </v>
      </c>
      <c r="AQ45" s="504"/>
      <c r="AR45" s="504"/>
      <c r="AS45" s="1159">
        <v>23</v>
      </c>
    </row>
    <row customHeight="1" ht="22.049999999999997">
      <c r="A46" s="1367" t="s">
        <v>320</v>
      </c>
      <c r="B46" s="1367" t="s">
        <v>321</v>
      </c>
      <c r="C46" s="1367" t="s">
        <v>322</v>
      </c>
      <c r="D46" s="1367" t="s">
        <v>323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504"/>
      <c r="AP46" s="504" t="str">
        <f>IF(T46="","",T46)</f>
        <v>Источник тепловой энергии  </v>
      </c>
      <c r="AQ46" s="504"/>
      <c r="AR46" s="504"/>
      <c r="AS46" s="1159">
        <v>21</v>
      </c>
    </row>
    <row s="1646" customFormat="1" customHeight="1" ht="0">
      <c r="A47" s="1347" t="s">
        <v>320</v>
      </c>
      <c r="B47" s="1347" t="s">
        <v>321</v>
      </c>
      <c r="C47" s="1347" t="s">
        <v>322</v>
      </c>
      <c r="D47" s="1347" t="s">
        <v>323</v>
      </c>
      <c r="E47" s="2276"/>
      <c r="F47" s="2276"/>
      <c r="G47" s="2276"/>
      <c r="H47" s="2276"/>
      <c r="I47" s="2273" t="str">
        <f>S46&amp;".1"</f>
        <v>....1</v>
      </c>
      <c r="J47" s="1347"/>
      <c r="K47" s="1347"/>
      <c r="L47" s="1350" t="s">
        <v>541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320</v>
      </c>
      <c r="B48" s="1367" t="s">
        <v>321</v>
      </c>
      <c r="C48" s="1367" t="s">
        <v>322</v>
      </c>
      <c r="D48" s="1367" t="s">
        <v>323</v>
      </c>
      <c r="E48" s="2276"/>
      <c r="F48" s="2276"/>
      <c r="G48" s="2276"/>
      <c r="H48" s="2276"/>
      <c r="I48" s="2303"/>
      <c r="J48" s="2273" t="str">
        <f>S46&amp;".1"</f>
        <v>....1</v>
      </c>
      <c r="K48" s="1367"/>
      <c r="L48" s="1368" t="s">
        <v>544</v>
      </c>
      <c r="P48" s="2274"/>
      <c r="Q48" s="2274">
        <v>1</v>
      </c>
      <c r="R48" s="361"/>
      <c r="S48" s="1340" t="str">
        <f>$J48</f>
        <v>....1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504"/>
      <c r="AP48" s="504" t="str">
        <f>IF(T48="","",T48)</f>
        <v>Группа потребителей</v>
      </c>
      <c r="AQ48" s="504"/>
      <c r="AR48" s="504"/>
      <c r="AS48" s="1159">
        <v>21</v>
      </c>
    </row>
    <row customHeight="1" ht="22.049999999999997">
      <c r="A49" s="1367" t="s">
        <v>320</v>
      </c>
      <c r="B49" s="1367" t="s">
        <v>321</v>
      </c>
      <c r="C49" s="1367" t="s">
        <v>322</v>
      </c>
      <c r="D49" s="1367" t="s">
        <v>323</v>
      </c>
      <c r="E49" s="2276"/>
      <c r="F49" s="2276"/>
      <c r="G49" s="2276"/>
      <c r="H49" s="2276"/>
      <c r="I49" s="2303"/>
      <c r="J49" s="2303"/>
      <c r="K49" s="2273" t="str">
        <f>J48&amp;".1"</f>
        <v>....1.1</v>
      </c>
      <c r="L49" s="1368" t="s">
        <v>547</v>
      </c>
      <c r="P49" s="2274"/>
      <c r="Q49" s="2274"/>
      <c r="R49" s="361">
        <v>1</v>
      </c>
      <c r="S49" s="1340" t="str">
        <f>$K49</f>
        <v>....1.1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589</v>
      </c>
      <c r="AN49" s="515">
        <f>STRCHECKDATE(V50:AL50)</f>
      </c>
      <c r="AO49" s="504"/>
      <c r="AP49" s="504" t="str">
        <f>IF(T49="","",T49)</f>
        <v/>
      </c>
      <c r="AQ49" s="504"/>
      <c r="AR49" s="504"/>
      <c r="AS49" s="1159">
        <v>21</v>
      </c>
    </row>
    <row customHeight="1" ht="1.05">
      <c r="A50" s="1367" t="s">
        <v>320</v>
      </c>
      <c r="B50" s="1367" t="s">
        <v>321</v>
      </c>
      <c r="C50" s="1367" t="s">
        <v>322</v>
      </c>
      <c r="D50" s="1367" t="s">
        <v>323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320</v>
      </c>
      <c r="B51" s="1367" t="s">
        <v>321</v>
      </c>
      <c r="C51" s="1367" t="s">
        <v>322</v>
      </c>
      <c r="D51" s="1367" t="s">
        <v>323</v>
      </c>
      <c r="E51" s="2276"/>
      <c r="F51" s="2276"/>
      <c r="G51" s="2276"/>
      <c r="H51" s="2276"/>
      <c r="I51" s="2303"/>
      <c r="J51" s="2273"/>
      <c r="K51" s="1367"/>
      <c r="L51" s="1368"/>
      <c r="P51" s="2274"/>
      <c r="Q51" s="2274"/>
      <c r="R51" s="360"/>
      <c r="S51" s="1282"/>
      <c r="T51" s="291" t="s">
        <v>549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320</v>
      </c>
      <c r="B52" s="1367" t="s">
        <v>321</v>
      </c>
      <c r="C52" s="1367" t="s">
        <v>322</v>
      </c>
      <c r="D52" s="1367" t="s">
        <v>323</v>
      </c>
      <c r="E52" s="2276"/>
      <c r="F52" s="2276"/>
      <c r="G52" s="2276"/>
      <c r="H52" s="2276"/>
      <c r="I52" s="2273"/>
      <c r="J52" s="1367"/>
      <c r="K52" s="1367"/>
      <c r="L52" s="1368"/>
      <c r="P52" s="2274"/>
      <c r="Q52" s="1335"/>
      <c r="R52" s="360"/>
      <c r="S52" s="1282"/>
      <c r="T52" s="369" t="s">
        <v>550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320</v>
      </c>
      <c r="B53" s="1367" t="s">
        <v>321</v>
      </c>
      <c r="C53" s="1367" t="s">
        <v>322</v>
      </c>
      <c r="D53" s="1367" t="s">
        <v>323</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320</v>
      </c>
      <c r="B54" s="1347" t="s">
        <v>321</v>
      </c>
      <c r="C54" s="1347" t="s">
        <v>322</v>
      </c>
      <c r="D54" s="1318"/>
      <c r="E54" s="2276"/>
      <c r="F54" s="2276"/>
      <c r="G54" s="2275"/>
      <c r="H54" s="1318"/>
      <c r="I54" s="1318"/>
      <c r="J54" s="1318"/>
      <c r="K54" s="1318"/>
      <c r="L54" s="1343"/>
      <c r="M54" s="1319"/>
      <c r="N54" s="131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320</v>
      </c>
      <c r="B55" s="1347" t="s">
        <v>321</v>
      </c>
      <c r="C55" s="1318"/>
      <c r="D55" s="1318"/>
      <c r="E55" s="2276"/>
      <c r="F55" s="2275"/>
      <c r="G55" s="1318"/>
      <c r="H55" s="1318"/>
      <c r="I55" s="1318"/>
      <c r="J55" s="1318"/>
      <c r="K55" s="1318"/>
      <c r="L55" s="1343"/>
      <c r="M55" s="1325"/>
      <c r="N55" s="132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320</v>
      </c>
      <c r="B56" s="1347"/>
      <c r="C56" s="1347"/>
      <c r="D56" s="1347"/>
      <c r="E56" s="2275"/>
      <c r="F56" s="1347"/>
      <c r="G56" s="1347"/>
      <c r="H56" s="1347"/>
      <c r="I56" s="1347"/>
      <c r="J56" s="1347"/>
      <c r="K56" s="1347"/>
      <c r="L56" s="1350"/>
      <c r="M56" s="1325"/>
      <c r="N56" s="1325"/>
      <c r="O56" s="522"/>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E0648-0658-F0D8-ABDE-CD48C8A130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267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534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535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536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537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538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539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540</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541</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544</v>
      </c>
      <c r="M7" s="541"/>
      <c r="N7" s="1370"/>
      <c r="P7" s="2274"/>
      <c r="Q7" s="2274">
        <v>1</v>
      </c>
      <c r="R7" s="361"/>
      <c r="S7" s="1340">
        <f>$J7</f>
      </c>
      <c r="T7" s="290" t="s">
        <v>545</v>
      </c>
      <c r="U7" s="304"/>
      <c r="V7" s="2262"/>
      <c r="W7" s="2263"/>
      <c r="X7" s="2263"/>
      <c r="Y7" s="2263"/>
      <c r="Z7" s="2263"/>
      <c r="AA7" s="2263"/>
      <c r="AB7" s="2263"/>
      <c r="AC7" s="2264"/>
      <c r="AD7" s="2262"/>
      <c r="AE7" s="2263"/>
      <c r="AF7" s="2263"/>
      <c r="AG7" s="2263"/>
      <c r="AH7" s="2263"/>
      <c r="AI7" s="2263"/>
      <c r="AJ7" s="2263"/>
      <c r="AK7" s="2263"/>
      <c r="AL7" s="2264"/>
      <c r="AM7" s="1262" t="s">
        <v>546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547</v>
      </c>
      <c r="M8" s="541"/>
      <c r="N8" s="1370"/>
      <c r="O8" s="1370"/>
      <c r="P8" s="2274"/>
      <c r="Q8" s="2274"/>
      <c r="R8" s="361">
        <v>1</v>
      </c>
      <c r="S8" s="1340">
        <f>$K8</f>
      </c>
      <c r="T8" s="1351"/>
      <c r="U8" s="304"/>
      <c r="V8" s="755"/>
      <c r="W8" s="329"/>
      <c r="X8" s="755"/>
      <c r="Y8" s="1261"/>
      <c r="Z8" s="2282"/>
      <c r="AA8" s="2124" t="s">
        <v>64</v>
      </c>
      <c r="AB8" s="2282"/>
      <c r="AC8" s="2124" t="s">
        <v>64</v>
      </c>
      <c r="AD8" s="755"/>
      <c r="AE8" s="329"/>
      <c r="AF8" s="755"/>
      <c r="AG8" s="1261"/>
      <c r="AH8" s="2282"/>
      <c r="AI8" s="2124" t="s">
        <v>64</v>
      </c>
      <c r="AJ8" s="2282"/>
      <c r="AK8" s="2124" t="s">
        <v>64</v>
      </c>
      <c r="AL8" s="329"/>
      <c r="AM8" s="2270" t="s">
        <v>548</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549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550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552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553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554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64</v>
      </c>
      <c r="AJ17" s="2284"/>
      <c r="AK17" s="2285" t="s">
        <v>64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555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556</v>
      </c>
      <c r="P22" s="1366"/>
      <c r="Q22" s="1375"/>
      <c r="R22" s="1375"/>
      <c r="S22" s="733"/>
      <c r="T22" s="1164" t="s">
        <v>557</v>
      </c>
      <c r="AA22" s="190" t="s">
        <v>558</v>
      </c>
      <c r="AC22" s="190" t="s">
        <v>559</v>
      </c>
      <c r="AD22" s="1164" t="s">
        <v>557</v>
      </c>
      <c r="AI22" s="190" t="s">
        <v>560</v>
      </c>
      <c r="AK22" s="190" t="s">
        <v>559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КГУП "Примтеплоэнерго"</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561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562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563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564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565</v>
      </c>
      <c r="AD36" s="330"/>
      <c r="AE36" s="330"/>
      <c r="AF36" s="330"/>
      <c r="AG36" s="330"/>
      <c r="AH36" s="330"/>
      <c r="AI36" s="330"/>
      <c r="AJ36" s="330"/>
      <c r="AK36" s="282" t="s">
        <v>565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438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439</v>
      </c>
      <c r="AS38" s="1159">
        <v>14</v>
      </c>
    </row>
    <row customHeight="1" ht="14.699999999999998">
      <c r="Q39" s="380"/>
      <c r="R39" s="380"/>
      <c r="S39" s="2290" t="s">
        <v>87</v>
      </c>
      <c r="T39" s="2226" t="s">
        <v>566</v>
      </c>
      <c r="U39" s="305"/>
      <c r="V39" s="2291" t="s">
        <v>567</v>
      </c>
      <c r="W39" s="2292"/>
      <c r="X39" s="2292"/>
      <c r="Y39" s="2292"/>
      <c r="Z39" s="2292"/>
      <c r="AA39" s="2292"/>
      <c r="AB39" s="2293"/>
      <c r="AC39" s="2294" t="s">
        <v>568</v>
      </c>
      <c r="AD39" s="2291" t="s">
        <v>567</v>
      </c>
      <c r="AE39" s="2292"/>
      <c r="AF39" s="2292"/>
      <c r="AG39" s="2292"/>
      <c r="AH39" s="2292"/>
      <c r="AI39" s="2292"/>
      <c r="AJ39" s="2293"/>
      <c r="AK39" s="2294" t="s">
        <v>569</v>
      </c>
      <c r="AL39" s="2297" t="s">
        <v>570</v>
      </c>
      <c r="AM39" s="2144"/>
      <c r="AS39" s="1159">
        <v>14</v>
      </c>
    </row>
    <row customHeight="1" ht="35.699999999999996">
      <c r="Q40" s="380"/>
      <c r="R40" s="380"/>
      <c r="S40" s="2290"/>
      <c r="T40" s="2226"/>
      <c r="U40" s="1035"/>
      <c r="V40" s="2277" t="s">
        <v>571</v>
      </c>
      <c r="W40" s="2300"/>
      <c r="X40" s="2279" t="s">
        <v>573</v>
      </c>
      <c r="Y40" s="2280"/>
      <c r="Z40" s="2279" t="s">
        <v>574</v>
      </c>
      <c r="AA40" s="2286"/>
      <c r="AB40" s="2280"/>
      <c r="AC40" s="2295"/>
      <c r="AD40" s="2277" t="s">
        <v>588</v>
      </c>
      <c r="AE40" s="2300"/>
      <c r="AF40" s="2279" t="s">
        <v>573</v>
      </c>
      <c r="AG40" s="2280"/>
      <c r="AH40" s="2279" t="s">
        <v>574</v>
      </c>
      <c r="AI40" s="2286"/>
      <c r="AJ40" s="2280"/>
      <c r="AK40" s="2295"/>
      <c r="AL40" s="2298"/>
      <c r="AM40" s="2144"/>
      <c r="AS40" s="1159">
        <v>34</v>
      </c>
    </row>
    <row customHeight="1" ht="35.699999999999996">
      <c r="A41" s="1374"/>
      <c r="B41" s="1374" t="s">
        <v>279</v>
      </c>
      <c r="C41" s="1374" t="s">
        <v>280</v>
      </c>
      <c r="D41" s="1374" t="s">
        <v>281</v>
      </c>
      <c r="E41" s="1368" t="s">
        <v>575</v>
      </c>
      <c r="F41" s="1368" t="s">
        <v>576</v>
      </c>
      <c r="G41" s="1368" t="s">
        <v>577</v>
      </c>
      <c r="H41" s="1368" t="s">
        <v>578</v>
      </c>
      <c r="I41" s="1368" t="s">
        <v>579</v>
      </c>
      <c r="J41" s="1368" t="s">
        <v>580</v>
      </c>
      <c r="K41" s="1368" t="s">
        <v>581</v>
      </c>
      <c r="L41" s="1368" t="s">
        <v>556</v>
      </c>
      <c r="Q41" s="380"/>
      <c r="R41" s="380"/>
      <c r="S41" s="2290"/>
      <c r="T41" s="2226"/>
      <c r="U41" s="306"/>
      <c r="V41" s="2278"/>
      <c r="W41" s="2301"/>
      <c r="X41" s="1226" t="s">
        <v>582</v>
      </c>
      <c r="Y41" s="1226" t="s">
        <v>583</v>
      </c>
      <c r="Z41" s="1342" t="s">
        <v>584</v>
      </c>
      <c r="AA41" s="2287" t="s">
        <v>585</v>
      </c>
      <c r="AB41" s="2288"/>
      <c r="AC41" s="2296"/>
      <c r="AD41" s="2278"/>
      <c r="AE41" s="2301"/>
      <c r="AF41" s="1226" t="s">
        <v>582</v>
      </c>
      <c r="AG41" s="1226" t="s">
        <v>583</v>
      </c>
      <c r="AH41" s="1342" t="s">
        <v>584</v>
      </c>
      <c r="AI41" s="2287" t="s">
        <v>585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326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267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326</v>
      </c>
      <c r="B44" s="1367" t="s">
        <v>327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535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536</v>
      </c>
      <c r="AO44" s="504"/>
      <c r="AP44" s="504" t="str">
        <f>IF(T44="","",T44)</f>
        <v>Территория действия тарифа</v>
      </c>
      <c r="AQ44" s="504"/>
      <c r="AR44" s="504"/>
      <c r="AS44" s="1159">
        <v>21</v>
      </c>
    </row>
    <row customHeight="1" ht="24">
      <c r="A45" s="1367" t="s">
        <v>326</v>
      </c>
      <c r="B45" s="1367" t="s">
        <v>327</v>
      </c>
      <c r="C45" s="1367" t="s">
        <v>328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537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538</v>
      </c>
      <c r="AO45" s="504"/>
      <c r="AP45" s="504" t="str">
        <f>IF(T45="","",T45)</f>
        <v>Наименование системы теплоснабжения </v>
      </c>
      <c r="AQ45" s="504"/>
      <c r="AR45" s="504"/>
      <c r="AS45" s="1159">
        <v>23</v>
      </c>
    </row>
    <row customHeight="1" ht="22.049999999999997">
      <c r="A46" s="1367" t="s">
        <v>326</v>
      </c>
      <c r="B46" s="1367" t="s">
        <v>327</v>
      </c>
      <c r="C46" s="1367" t="s">
        <v>328</v>
      </c>
      <c r="D46" s="1367" t="s">
        <v>329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539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540</v>
      </c>
      <c r="AO46" s="504"/>
      <c r="AP46" s="504" t="str">
        <f>IF(T46="","",T46)</f>
        <v>Источник тепловой энергии  </v>
      </c>
      <c r="AQ46" s="504"/>
      <c r="AR46" s="504"/>
      <c r="AS46" s="1159">
        <v>21</v>
      </c>
    </row>
    <row s="1646" customFormat="1" customHeight="1" ht="0">
      <c r="A47" s="1347" t="s">
        <v>326</v>
      </c>
      <c r="B47" s="1347" t="s">
        <v>327</v>
      </c>
      <c r="C47" s="1347" t="s">
        <v>328</v>
      </c>
      <c r="D47" s="1347" t="s">
        <v>329</v>
      </c>
      <c r="E47" s="2276"/>
      <c r="F47" s="2276"/>
      <c r="G47" s="2276"/>
      <c r="H47" s="2276"/>
      <c r="I47" s="2273" t="str">
        <f>S46&amp;".1"</f>
        <v>....1</v>
      </c>
      <c r="J47" s="1347"/>
      <c r="K47" s="1347"/>
      <c r="L47" s="1350" t="s">
        <v>541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326</v>
      </c>
      <c r="B48" s="1367" t="s">
        <v>327</v>
      </c>
      <c r="C48" s="1367" t="s">
        <v>328</v>
      </c>
      <c r="D48" s="1367" t="s">
        <v>329</v>
      </c>
      <c r="E48" s="2276"/>
      <c r="F48" s="2276"/>
      <c r="G48" s="2276"/>
      <c r="H48" s="2276"/>
      <c r="I48" s="2303"/>
      <c r="J48" s="2273" t="str">
        <f>S46&amp;".1"</f>
        <v>....1</v>
      </c>
      <c r="K48" s="1367"/>
      <c r="L48" s="1368" t="s">
        <v>544</v>
      </c>
      <c r="P48" s="2274"/>
      <c r="Q48" s="2274">
        <v>1</v>
      </c>
      <c r="R48" s="361"/>
      <c r="S48" s="1340" t="str">
        <f>$J48</f>
        <v>....1</v>
      </c>
      <c r="T48" s="290" t="s">
        <v>545</v>
      </c>
      <c r="U48" s="304"/>
      <c r="V48" s="2262"/>
      <c r="W48" s="2263"/>
      <c r="X48" s="2263"/>
      <c r="Y48" s="2263"/>
      <c r="Z48" s="2263"/>
      <c r="AA48" s="2263"/>
      <c r="AB48" s="2263"/>
      <c r="AC48" s="2264"/>
      <c r="AD48" s="2262"/>
      <c r="AE48" s="2263"/>
      <c r="AF48" s="2263"/>
      <c r="AG48" s="2263"/>
      <c r="AH48" s="2263"/>
      <c r="AI48" s="2263"/>
      <c r="AJ48" s="2263"/>
      <c r="AK48" s="2263"/>
      <c r="AL48" s="2264"/>
      <c r="AM48" s="1262" t="s">
        <v>546</v>
      </c>
      <c r="AO48" s="504"/>
      <c r="AP48" s="504" t="str">
        <f>IF(T48="","",T48)</f>
        <v>Группа потребителей</v>
      </c>
      <c r="AQ48" s="504"/>
      <c r="AR48" s="504"/>
      <c r="AS48" s="1159">
        <v>21</v>
      </c>
    </row>
    <row customHeight="1" ht="22.049999999999997">
      <c r="A49" s="1367" t="s">
        <v>326</v>
      </c>
      <c r="B49" s="1367" t="s">
        <v>327</v>
      </c>
      <c r="C49" s="1367" t="s">
        <v>328</v>
      </c>
      <c r="D49" s="1367" t="s">
        <v>329</v>
      </c>
      <c r="E49" s="2276"/>
      <c r="F49" s="2276"/>
      <c r="G49" s="2276"/>
      <c r="H49" s="2276"/>
      <c r="I49" s="2303"/>
      <c r="J49" s="2303"/>
      <c r="K49" s="2273" t="str">
        <f>J48&amp;".1"</f>
        <v>....1.1</v>
      </c>
      <c r="L49" s="1368" t="s">
        <v>547</v>
      </c>
      <c r="P49" s="2274"/>
      <c r="Q49" s="2274"/>
      <c r="R49" s="361">
        <v>1</v>
      </c>
      <c r="S49" s="1340" t="str">
        <f>$K49</f>
        <v>....1.1</v>
      </c>
      <c r="T49" s="1351"/>
      <c r="U49" s="304"/>
      <c r="V49" s="755"/>
      <c r="W49" s="329"/>
      <c r="X49" s="755"/>
      <c r="Y49" s="1261"/>
      <c r="Z49" s="2282"/>
      <c r="AA49" s="2124" t="s">
        <v>64</v>
      </c>
      <c r="AB49" s="2282"/>
      <c r="AC49" s="2124" t="s">
        <v>64</v>
      </c>
      <c r="AD49" s="755"/>
      <c r="AE49" s="329"/>
      <c r="AF49" s="755"/>
      <c r="AG49" s="1261"/>
      <c r="AH49" s="2282"/>
      <c r="AI49" s="2124" t="s">
        <v>64</v>
      </c>
      <c r="AJ49" s="2304"/>
      <c r="AK49" s="2124" t="s">
        <v>64</v>
      </c>
      <c r="AL49" s="1352"/>
      <c r="AM49" s="2270" t="s">
        <v>589</v>
      </c>
      <c r="AN49" s="515">
        <f>STRCHECKDATE(V50:AL50)</f>
      </c>
      <c r="AO49" s="504"/>
      <c r="AP49" s="504" t="str">
        <f>IF(T49="","",T49)</f>
        <v/>
      </c>
      <c r="AQ49" s="504"/>
      <c r="AR49" s="504"/>
      <c r="AS49" s="1159">
        <v>21</v>
      </c>
    </row>
    <row customHeight="1" ht="0">
      <c r="A50" s="1367" t="s">
        <v>326</v>
      </c>
      <c r="B50" s="1367" t="s">
        <v>327</v>
      </c>
      <c r="C50" s="1367" t="s">
        <v>328</v>
      </c>
      <c r="D50" s="1367" t="s">
        <v>329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326</v>
      </c>
      <c r="B51" s="1367" t="s">
        <v>327</v>
      </c>
      <c r="C51" s="1367" t="s">
        <v>328</v>
      </c>
      <c r="D51" s="1367" t="s">
        <v>329</v>
      </c>
      <c r="E51" s="2276"/>
      <c r="F51" s="2276"/>
      <c r="G51" s="2276"/>
      <c r="H51" s="2276"/>
      <c r="I51" s="2303"/>
      <c r="J51" s="2273"/>
      <c r="K51" s="1367"/>
      <c r="L51" s="1368"/>
      <c r="P51" s="2274"/>
      <c r="Q51" s="2274"/>
      <c r="R51" s="360"/>
      <c r="S51" s="1282"/>
      <c r="T51" s="291" t="s">
        <v>549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326</v>
      </c>
      <c r="B52" s="1367" t="s">
        <v>327</v>
      </c>
      <c r="C52" s="1367" t="s">
        <v>328</v>
      </c>
      <c r="D52" s="1367" t="s">
        <v>329</v>
      </c>
      <c r="E52" s="2276"/>
      <c r="F52" s="2276"/>
      <c r="G52" s="2276"/>
      <c r="H52" s="2276"/>
      <c r="I52" s="2273"/>
      <c r="J52" s="1367"/>
      <c r="K52" s="1367"/>
      <c r="L52" s="1368"/>
      <c r="P52" s="2274"/>
      <c r="Q52" s="1335"/>
      <c r="R52" s="360"/>
      <c r="S52" s="1282"/>
      <c r="T52" s="369" t="s">
        <v>550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326</v>
      </c>
      <c r="B53" s="1367" t="s">
        <v>327</v>
      </c>
      <c r="C53" s="1367" t="s">
        <v>328</v>
      </c>
      <c r="D53" s="1367" t="s">
        <v>329</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326</v>
      </c>
      <c r="B54" s="1347" t="s">
        <v>327</v>
      </c>
      <c r="C54" s="1347" t="s">
        <v>328</v>
      </c>
      <c r="D54" s="1318"/>
      <c r="E54" s="2276"/>
      <c r="F54" s="2276"/>
      <c r="G54" s="2275"/>
      <c r="H54" s="1318"/>
      <c r="I54" s="1318"/>
      <c r="J54" s="1318"/>
      <c r="K54" s="1318"/>
      <c r="L54" s="1343"/>
      <c r="M54" s="1319"/>
      <c r="N54" s="1319"/>
      <c r="P54" s="1320"/>
      <c r="Q54" s="1321"/>
      <c r="R54" s="1320"/>
      <c r="S54" s="1326"/>
      <c r="T54" s="1329" t="s">
        <v>552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326</v>
      </c>
      <c r="B55" s="1347" t="s">
        <v>327</v>
      </c>
      <c r="C55" s="1318"/>
      <c r="D55" s="1318"/>
      <c r="E55" s="2276"/>
      <c r="F55" s="2275"/>
      <c r="G55" s="1318"/>
      <c r="H55" s="1318"/>
      <c r="I55" s="1318"/>
      <c r="J55" s="1318"/>
      <c r="K55" s="1318"/>
      <c r="L55" s="1343"/>
      <c r="M55" s="1325"/>
      <c r="N55" s="1325"/>
      <c r="P55" s="1320"/>
      <c r="Q55" s="1321"/>
      <c r="R55" s="1320"/>
      <c r="S55" s="1326"/>
      <c r="T55" s="1329" t="s">
        <v>553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326</v>
      </c>
      <c r="B56" s="1347"/>
      <c r="C56" s="1347"/>
      <c r="D56" s="1347"/>
      <c r="E56" s="2275"/>
      <c r="F56" s="1347"/>
      <c r="G56" s="1347"/>
      <c r="H56" s="1347"/>
      <c r="I56" s="1347"/>
      <c r="J56" s="1347"/>
      <c r="K56" s="1347"/>
      <c r="L56" s="1350"/>
      <c r="M56" s="1325"/>
      <c r="N56" s="1325"/>
      <c r="O56" s="522"/>
      <c r="P56" s="384"/>
      <c r="Q56" s="1348"/>
      <c r="R56" s="384"/>
      <c r="S56" s="1326"/>
      <c r="T56" s="1329" t="s">
        <v>554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586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6E4D8-329A-B477-F6B8-0D26A45738A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267</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534</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535</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536</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537</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538</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539</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540</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541</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544</v>
      </c>
      <c r="N7" s="513"/>
      <c r="O7" s="331"/>
      <c r="Q7" s="2274"/>
      <c r="R7" s="2274">
        <v>1</v>
      </c>
      <c r="S7" s="522"/>
      <c r="T7" s="361"/>
      <c r="U7" s="1340">
        <f>$J7</f>
      </c>
      <c r="V7" s="290" t="s">
        <v>545</v>
      </c>
      <c r="W7" s="304"/>
      <c r="X7" s="2262"/>
      <c r="Y7" s="2263"/>
      <c r="Z7" s="2263"/>
      <c r="AA7" s="2263"/>
      <c r="AB7" s="2263"/>
      <c r="AC7" s="2252"/>
      <c r="AD7" s="2252"/>
      <c r="AE7" s="2252"/>
      <c r="AF7" s="2325"/>
      <c r="AG7" s="2262"/>
      <c r="AH7" s="2263"/>
      <c r="AI7" s="2263"/>
      <c r="AJ7" s="2263"/>
      <c r="AK7" s="2263"/>
      <c r="AL7" s="2263"/>
      <c r="AM7" s="2263"/>
      <c r="AN7" s="2263"/>
      <c r="AO7" s="2263"/>
      <c r="AP7" s="2264"/>
      <c r="AQ7" s="1262" t="s">
        <v>546</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547</v>
      </c>
      <c r="N8" s="513"/>
      <c r="O8" s="331"/>
      <c r="P8" s="331"/>
      <c r="Q8" s="2274"/>
      <c r="R8" s="2274"/>
      <c r="S8" s="2274">
        <v>1</v>
      </c>
      <c r="T8" s="361"/>
      <c r="U8" s="1340">
        <f>$K8</f>
      </c>
      <c r="V8" s="1351"/>
      <c r="W8" s="304"/>
      <c r="X8" s="755"/>
      <c r="Y8" s="755"/>
      <c r="Z8" s="755"/>
      <c r="AA8" s="755"/>
      <c r="AB8" s="1409"/>
      <c r="AC8" s="2282"/>
      <c r="AD8" s="2124" t="s">
        <v>64</v>
      </c>
      <c r="AE8" s="2282"/>
      <c r="AF8" s="2124" t="s">
        <v>64</v>
      </c>
      <c r="AG8" s="1411"/>
      <c r="AH8" s="755"/>
      <c r="AI8" s="755"/>
      <c r="AJ8" s="755"/>
      <c r="AK8" s="1261"/>
      <c r="AL8" s="2282"/>
      <c r="AM8" s="2124" t="s">
        <v>64</v>
      </c>
      <c r="AN8" s="2282"/>
      <c r="AO8" s="2124" t="s">
        <v>64</v>
      </c>
      <c r="AP8" s="329"/>
      <c r="AQ8" s="1311" t="s">
        <v>590</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591</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592</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549</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550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552</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553</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554</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64</v>
      </c>
      <c r="AN19" s="2284"/>
      <c r="AO19" s="2285" t="s">
        <v>64</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555</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556</v>
      </c>
      <c r="Q26" s="1366"/>
      <c r="R26" s="1375"/>
      <c r="S26" s="1375"/>
      <c r="T26" s="1375"/>
      <c r="U26" s="733"/>
      <c r="V26" s="1164" t="s">
        <v>557</v>
      </c>
      <c r="AD26" s="190" t="s">
        <v>558</v>
      </c>
      <c r="AF26" s="190" t="s">
        <v>559</v>
      </c>
      <c r="AG26" s="1164" t="s">
        <v>557</v>
      </c>
      <c r="AM26" s="190" t="s">
        <v>560</v>
      </c>
      <c r="AO26" s="190" t="s">
        <v>559</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КГУП "Примтеплоэнерго"</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561</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562</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563</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564</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565</v>
      </c>
      <c r="AG40" s="330"/>
      <c r="AH40" s="330"/>
      <c r="AI40" s="330"/>
      <c r="AJ40" s="330"/>
      <c r="AK40" s="330"/>
      <c r="AL40" s="330"/>
      <c r="AM40" s="330"/>
      <c r="AN40" s="330"/>
      <c r="AO40" s="282" t="s">
        <v>565</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438</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439</v>
      </c>
      <c r="AW42" s="1159">
        <v>14</v>
      </c>
    </row>
    <row customHeight="1" ht="14.699999999999998">
      <c r="R43" s="380"/>
      <c r="S43" s="380"/>
      <c r="T43" s="380"/>
      <c r="U43" s="2290" t="s">
        <v>87</v>
      </c>
      <c r="V43" s="2226" t="s">
        <v>566</v>
      </c>
      <c r="W43" s="305"/>
      <c r="X43" s="2291" t="s">
        <v>567</v>
      </c>
      <c r="Y43" s="2308"/>
      <c r="Z43" s="2308"/>
      <c r="AA43" s="2308"/>
      <c r="AB43" s="2308"/>
      <c r="AC43" s="2292"/>
      <c r="AD43" s="2292"/>
      <c r="AE43" s="2293"/>
      <c r="AF43" s="2294" t="s">
        <v>568</v>
      </c>
      <c r="AG43" s="2291" t="s">
        <v>567</v>
      </c>
      <c r="AH43" s="2308"/>
      <c r="AI43" s="2308"/>
      <c r="AJ43" s="2308"/>
      <c r="AK43" s="2308"/>
      <c r="AL43" s="2292"/>
      <c r="AM43" s="2292"/>
      <c r="AN43" s="2293"/>
      <c r="AO43" s="2294" t="s">
        <v>569</v>
      </c>
      <c r="AP43" s="2297" t="s">
        <v>570</v>
      </c>
      <c r="AQ43" s="2144"/>
      <c r="AW43" s="1159">
        <v>14</v>
      </c>
    </row>
    <row customHeight="1" ht="35.699999999999996">
      <c r="R44" s="380"/>
      <c r="S44" s="380"/>
      <c r="T44" s="380"/>
      <c r="U44" s="2290"/>
      <c r="V44" s="2226"/>
      <c r="W44" s="1035"/>
      <c r="X44" s="2311" t="s">
        <v>593</v>
      </c>
      <c r="Y44" s="2329" t="s">
        <v>594</v>
      </c>
      <c r="Z44" s="2329"/>
      <c r="AA44" s="2329"/>
      <c r="AB44" s="2329"/>
      <c r="AC44" s="2311" t="s">
        <v>574</v>
      </c>
      <c r="AD44" s="2629"/>
      <c r="AE44" s="2331"/>
      <c r="AF44" s="2295"/>
      <c r="AG44" s="2311" t="s">
        <v>593</v>
      </c>
      <c r="AH44" s="2329" t="s">
        <v>594</v>
      </c>
      <c r="AI44" s="2329"/>
      <c r="AJ44" s="2329"/>
      <c r="AK44" s="2329"/>
      <c r="AL44" s="2311" t="s">
        <v>574</v>
      </c>
      <c r="AM44" s="2629"/>
      <c r="AN44" s="2331"/>
      <c r="AO44" s="2295"/>
      <c r="AP44" s="2298"/>
      <c r="AQ44" s="2144"/>
      <c r="AW44" s="1159">
        <v>34</v>
      </c>
    </row>
    <row customHeight="1" ht="14.699999999999998">
      <c r="R45" s="380"/>
      <c r="S45" s="380"/>
      <c r="T45" s="380"/>
      <c r="U45" s="2290"/>
      <c r="V45" s="2226"/>
      <c r="W45" s="1035"/>
      <c r="X45" s="2342"/>
      <c r="Y45" s="2334" t="s">
        <v>595</v>
      </c>
      <c r="Z45" s="2287" t="s">
        <v>596</v>
      </c>
      <c r="AA45" s="2337"/>
      <c r="AB45" s="2288"/>
      <c r="AC45" s="2312"/>
      <c r="AD45" s="2630"/>
      <c r="AE45" s="2333"/>
      <c r="AF45" s="2295"/>
      <c r="AG45" s="2342"/>
      <c r="AH45" s="2334" t="s">
        <v>595</v>
      </c>
      <c r="AI45" s="2287" t="s">
        <v>596</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597</v>
      </c>
      <c r="AA46" s="2287" t="s">
        <v>598</v>
      </c>
      <c r="AB46" s="2288"/>
      <c r="AC46" s="2334" t="s">
        <v>584</v>
      </c>
      <c r="AD46" s="2338" t="s">
        <v>585</v>
      </c>
      <c r="AE46" s="2339"/>
      <c r="AF46" s="2295"/>
      <c r="AG46" s="2342"/>
      <c r="AH46" s="2335"/>
      <c r="AI46" s="2334" t="s">
        <v>597</v>
      </c>
      <c r="AJ46" s="2287" t="s">
        <v>598</v>
      </c>
      <c r="AK46" s="2288"/>
      <c r="AL46" s="2334" t="s">
        <v>584</v>
      </c>
      <c r="AM46" s="2338" t="s">
        <v>585</v>
      </c>
      <c r="AN46" s="2339"/>
      <c r="AO46" s="2295"/>
      <c r="AP46" s="2298"/>
      <c r="AQ46" s="2144"/>
      <c r="AW46" s="1159">
        <v>26</v>
      </c>
    </row>
    <row customHeight="1" ht="65.25">
      <c r="A47" s="1263"/>
      <c r="B47" s="1263" t="s">
        <v>279</v>
      </c>
      <c r="C47" s="1263" t="s">
        <v>280</v>
      </c>
      <c r="D47" s="1263" t="s">
        <v>281</v>
      </c>
      <c r="E47" s="1314" t="s">
        <v>575</v>
      </c>
      <c r="F47" s="1314" t="s">
        <v>576</v>
      </c>
      <c r="G47" s="1314" t="s">
        <v>577</v>
      </c>
      <c r="H47" s="1314" t="s">
        <v>578</v>
      </c>
      <c r="I47" s="1314" t="s">
        <v>579</v>
      </c>
      <c r="J47" s="1314" t="s">
        <v>580</v>
      </c>
      <c r="K47" s="1314" t="s">
        <v>581</v>
      </c>
      <c r="L47" s="1314" t="s">
        <v>599</v>
      </c>
      <c r="M47" s="1314" t="s">
        <v>556</v>
      </c>
      <c r="R47" s="380"/>
      <c r="S47" s="380"/>
      <c r="T47" s="380"/>
      <c r="U47" s="2290"/>
      <c r="V47" s="2226"/>
      <c r="W47" s="306"/>
      <c r="X47" s="2312"/>
      <c r="Y47" s="2336"/>
      <c r="Z47" s="2336"/>
      <c r="AA47" s="1226" t="s">
        <v>600</v>
      </c>
      <c r="AB47" s="1226" t="s">
        <v>601</v>
      </c>
      <c r="AC47" s="2336"/>
      <c r="AD47" s="2340"/>
      <c r="AE47" s="2341"/>
      <c r="AF47" s="2296"/>
      <c r="AG47" s="2312"/>
      <c r="AH47" s="2336"/>
      <c r="AI47" s="2336"/>
      <c r="AJ47" s="1226" t="s">
        <v>600</v>
      </c>
      <c r="AK47" s="1226" t="s">
        <v>601</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105</v>
      </c>
      <c r="V48" s="1259" t="s">
        <v>102</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314</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267</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314</v>
      </c>
      <c r="B50" s="1271" t="s">
        <v>315</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535</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536</v>
      </c>
      <c r="AS50" s="504"/>
      <c r="AT50" s="504" t="str">
        <f>IF(V50="","",V50)</f>
        <v>Территория действия тарифа</v>
      </c>
      <c r="AU50" s="504"/>
      <c r="AV50" s="504"/>
      <c r="AW50" s="1159">
        <v>21</v>
      </c>
    </row>
    <row customHeight="1" ht="24">
      <c r="A51" s="1271" t="s">
        <v>314</v>
      </c>
      <c r="B51" s="1271" t="s">
        <v>315</v>
      </c>
      <c r="C51" s="1271" t="s">
        <v>316</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537</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538</v>
      </c>
      <c r="AS51" s="504"/>
      <c r="AT51" s="504" t="str">
        <f>IF(V51="","",V51)</f>
        <v>Наименование системы теплоснабжения </v>
      </c>
      <c r="AU51" s="504"/>
      <c r="AV51" s="504"/>
      <c r="AW51" s="1159">
        <v>23</v>
      </c>
    </row>
    <row customHeight="1" ht="22.049999999999997">
      <c r="A52" s="1271" t="s">
        <v>314</v>
      </c>
      <c r="B52" s="1271" t="s">
        <v>315</v>
      </c>
      <c r="C52" s="1271" t="s">
        <v>316</v>
      </c>
      <c r="D52" s="1271" t="s">
        <v>317</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539</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540</v>
      </c>
      <c r="AS52" s="504"/>
      <c r="AT52" s="504" t="str">
        <f>IF(V52="","",V52)</f>
        <v>Источник тепловой энергии  </v>
      </c>
      <c r="AU52" s="504"/>
      <c r="AV52" s="504"/>
      <c r="AW52" s="1159">
        <v>21</v>
      </c>
    </row>
    <row s="1646" customFormat="1" customHeight="1" ht="0">
      <c r="A53" s="1379" t="s">
        <v>314</v>
      </c>
      <c r="B53" s="1379" t="s">
        <v>315</v>
      </c>
      <c r="C53" s="1379" t="s">
        <v>316</v>
      </c>
      <c r="D53" s="1379" t="s">
        <v>317</v>
      </c>
      <c r="E53" s="2307"/>
      <c r="F53" s="2307"/>
      <c r="G53" s="2307"/>
      <c r="H53" s="2328"/>
      <c r="I53" s="2144" t="str">
        <f>U52&amp;".1"</f>
        <v>....1</v>
      </c>
      <c r="J53" s="1379"/>
      <c r="K53" s="1379"/>
      <c r="L53" s="1379"/>
      <c r="M53" s="1385" t="s">
        <v>541</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314</v>
      </c>
      <c r="B54" s="1271" t="s">
        <v>315</v>
      </c>
      <c r="C54" s="1271" t="s">
        <v>316</v>
      </c>
      <c r="D54" s="1271" t="s">
        <v>317</v>
      </c>
      <c r="E54" s="2307"/>
      <c r="F54" s="2307"/>
      <c r="G54" s="2307"/>
      <c r="H54" s="2328"/>
      <c r="I54" s="2118"/>
      <c r="J54" s="2144" t="str">
        <f>I53&amp;".1"</f>
        <v>....1.1</v>
      </c>
      <c r="K54" s="1271"/>
      <c r="L54" s="1271"/>
      <c r="M54" s="1314" t="s">
        <v>544</v>
      </c>
      <c r="Q54" s="2274"/>
      <c r="R54" s="2274">
        <v>1</v>
      </c>
      <c r="S54" s="522"/>
      <c r="T54" s="361"/>
      <c r="U54" s="1340" t="str">
        <f>$J54</f>
        <v>....1.1</v>
      </c>
      <c r="V54" s="290" t="s">
        <v>545</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546</v>
      </c>
      <c r="AS54" s="504"/>
      <c r="AT54" s="504" t="str">
        <f>IF(V54="","",V54)</f>
        <v>Группа потребителей</v>
      </c>
      <c r="AU54" s="504"/>
      <c r="AV54" s="504"/>
      <c r="AW54" s="1159">
        <v>21</v>
      </c>
    </row>
    <row customHeight="1" ht="22.049999999999997">
      <c r="A55" s="1271" t="s">
        <v>314</v>
      </c>
      <c r="B55" s="1271" t="s">
        <v>315</v>
      </c>
      <c r="C55" s="1271" t="s">
        <v>316</v>
      </c>
      <c r="D55" s="1271" t="s">
        <v>317</v>
      </c>
      <c r="E55" s="2307"/>
      <c r="F55" s="2307"/>
      <c r="G55" s="2307"/>
      <c r="H55" s="2328"/>
      <c r="I55" s="2118"/>
      <c r="J55" s="2118"/>
      <c r="K55" s="2144" t="str">
        <f>J54&amp;".1"</f>
        <v>....1.1.1</v>
      </c>
      <c r="L55" s="143"/>
      <c r="M55" s="1314" t="s">
        <v>547</v>
      </c>
      <c r="Q55" s="2274"/>
      <c r="R55" s="2274"/>
      <c r="S55" s="522">
        <v>1</v>
      </c>
      <c r="T55" s="361"/>
      <c r="U55" s="1340" t="str">
        <f>$K55</f>
        <v>....1.1.1</v>
      </c>
      <c r="V55" s="1351"/>
      <c r="W55" s="304"/>
      <c r="X55" s="755"/>
      <c r="Y55" s="755"/>
      <c r="Z55" s="755"/>
      <c r="AA55" s="755"/>
      <c r="AB55" s="1409"/>
      <c r="AC55" s="2282"/>
      <c r="AD55" s="2124" t="s">
        <v>64</v>
      </c>
      <c r="AE55" s="2282"/>
      <c r="AF55" s="2124" t="s">
        <v>64</v>
      </c>
      <c r="AG55" s="1411"/>
      <c r="AH55" s="755"/>
      <c r="AI55" s="755"/>
      <c r="AJ55" s="755"/>
      <c r="AK55" s="1261"/>
      <c r="AL55" s="2282"/>
      <c r="AM55" s="2124" t="s">
        <v>64</v>
      </c>
      <c r="AN55" s="2282"/>
      <c r="AO55" s="2124" t="s">
        <v>64</v>
      </c>
      <c r="AP55" s="1352"/>
      <c r="AQ55" s="1311" t="s">
        <v>590</v>
      </c>
      <c r="AR55" s="515">
        <f>STRCHECKDATE(X57:AP57)</f>
      </c>
      <c r="AS55" s="504"/>
      <c r="AT55" s="504" t="str">
        <f>IF(V55="","",V55)</f>
        <v/>
      </c>
      <c r="AU55" s="504"/>
      <c r="AV55" s="504"/>
      <c r="AW55" s="1159">
        <v>21</v>
      </c>
    </row>
    <row customHeight="1" ht="11.549999999999999">
      <c r="A56" s="1271" t="s">
        <v>314</v>
      </c>
      <c r="B56" s="1271" t="s">
        <v>315</v>
      </c>
      <c r="C56" s="1271" t="s">
        <v>316</v>
      </c>
      <c r="D56" s="1271" t="s">
        <v>317</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591</v>
      </c>
      <c r="AR56" s="515">
        <f>STRCHECKDATE(X58:AP58)</f>
      </c>
      <c r="AS56" s="504"/>
      <c r="AT56" s="504" t="str">
        <f>IF(V56="","",V56)</f>
        <v/>
      </c>
      <c r="AU56" s="504"/>
      <c r="AV56" s="504"/>
      <c r="AW56" s="1159">
        <v>11</v>
      </c>
    </row>
    <row customHeight="1" ht="0">
      <c r="A57" s="1271" t="s">
        <v>314</v>
      </c>
      <c r="B57" s="1271" t="s">
        <v>315</v>
      </c>
      <c r="C57" s="1271" t="s">
        <v>316</v>
      </c>
      <c r="D57" s="1271" t="s">
        <v>317</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314</v>
      </c>
      <c r="B58" s="1271" t="s">
        <v>315</v>
      </c>
      <c r="C58" s="1271" t="s">
        <v>316</v>
      </c>
      <c r="D58" s="1271" t="s">
        <v>317</v>
      </c>
      <c r="E58" s="2307"/>
      <c r="F58" s="2307"/>
      <c r="G58" s="2307"/>
      <c r="H58" s="2328"/>
      <c r="I58" s="2118"/>
      <c r="J58" s="2118"/>
      <c r="K58" s="2144"/>
      <c r="L58" s="1271"/>
      <c r="M58" s="1314"/>
      <c r="Q58" s="2274"/>
      <c r="R58" s="2274"/>
      <c r="S58" s="1335"/>
      <c r="T58" s="360"/>
      <c r="U58" s="1282"/>
      <c r="V58" s="292" t="s">
        <v>592</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314</v>
      </c>
      <c r="B59" s="1271" t="s">
        <v>315</v>
      </c>
      <c r="C59" s="1271" t="s">
        <v>316</v>
      </c>
      <c r="D59" s="1271" t="s">
        <v>317</v>
      </c>
      <c r="E59" s="2307"/>
      <c r="F59" s="2307"/>
      <c r="G59" s="2307"/>
      <c r="H59" s="2328"/>
      <c r="I59" s="2118"/>
      <c r="J59" s="2144"/>
      <c r="K59" s="1271"/>
      <c r="L59" s="1271"/>
      <c r="M59" s="1314"/>
      <c r="Q59" s="2274"/>
      <c r="R59" s="2274"/>
      <c r="S59" s="1335"/>
      <c r="T59" s="360"/>
      <c r="U59" s="1282"/>
      <c r="V59" s="291" t="s">
        <v>549</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314</v>
      </c>
      <c r="B60" s="1271" t="s">
        <v>315</v>
      </c>
      <c r="C60" s="1271" t="s">
        <v>316</v>
      </c>
      <c r="D60" s="1271" t="s">
        <v>317</v>
      </c>
      <c r="E60" s="2307"/>
      <c r="F60" s="2307"/>
      <c r="G60" s="2307"/>
      <c r="H60" s="2328"/>
      <c r="I60" s="2144"/>
      <c r="J60" s="1271"/>
      <c r="K60" s="1271"/>
      <c r="L60" s="1271"/>
      <c r="M60" s="1314"/>
      <c r="Q60" s="2274"/>
      <c r="R60" s="1335"/>
      <c r="S60" s="1335"/>
      <c r="T60" s="360"/>
      <c r="U60" s="1282"/>
      <c r="V60" s="369" t="s">
        <v>550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314</v>
      </c>
      <c r="B61" s="1271" t="s">
        <v>315</v>
      </c>
      <c r="C61" s="1271" t="s">
        <v>316</v>
      </c>
      <c r="D61" s="1271" t="s">
        <v>317</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314</v>
      </c>
      <c r="B62" s="1379" t="s">
        <v>315</v>
      </c>
      <c r="C62" s="1379" t="s">
        <v>316</v>
      </c>
      <c r="D62" s="1378"/>
      <c r="E62" s="2307"/>
      <c r="F62" s="2307"/>
      <c r="G62" s="2306"/>
      <c r="H62" s="1378"/>
      <c r="I62" s="1378"/>
      <c r="J62" s="1378"/>
      <c r="K62" s="1378"/>
      <c r="L62" s="1378"/>
      <c r="M62" s="1381"/>
      <c r="N62" s="1382"/>
      <c r="O62" s="1382"/>
      <c r="P62" s="355"/>
      <c r="Q62" s="1320"/>
      <c r="R62" s="1321"/>
      <c r="S62" s="1320"/>
      <c r="T62" s="1320"/>
      <c r="U62" s="1326"/>
      <c r="V62" s="1329" t="s">
        <v>552</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314</v>
      </c>
      <c r="B63" s="1379" t="s">
        <v>315</v>
      </c>
      <c r="C63" s="1378"/>
      <c r="D63" s="1378"/>
      <c r="E63" s="2307"/>
      <c r="F63" s="2306"/>
      <c r="G63" s="1378"/>
      <c r="H63" s="1378"/>
      <c r="I63" s="1378"/>
      <c r="J63" s="1378"/>
      <c r="K63" s="1378"/>
      <c r="L63" s="1378"/>
      <c r="M63" s="1381"/>
      <c r="N63" s="1383"/>
      <c r="O63" s="1383"/>
      <c r="P63" s="355"/>
      <c r="Q63" s="1320"/>
      <c r="R63" s="1321"/>
      <c r="S63" s="1320"/>
      <c r="T63" s="1320"/>
      <c r="U63" s="1326"/>
      <c r="V63" s="1329" t="s">
        <v>553</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314</v>
      </c>
      <c r="B64" s="1379"/>
      <c r="C64" s="1379"/>
      <c r="D64" s="1379"/>
      <c r="E64" s="2306"/>
      <c r="F64" s="1379"/>
      <c r="G64" s="1379"/>
      <c r="H64" s="1379"/>
      <c r="I64" s="1379"/>
      <c r="J64" s="1379"/>
      <c r="K64" s="1379"/>
      <c r="L64" s="1379"/>
      <c r="M64" s="1385"/>
      <c r="N64" s="1383"/>
      <c r="O64" s="1383"/>
      <c r="P64" s="355"/>
      <c r="Q64" s="384"/>
      <c r="R64" s="1348"/>
      <c r="S64" s="384"/>
      <c r="T64" s="384"/>
      <c r="U64" s="1326"/>
      <c r="V64" s="1329" t="s">
        <v>554</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586</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1F2B6-3958-BFDB-DA78-8CC3AC7772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267</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534</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535</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536</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537</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538</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539</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540</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541</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64</v>
      </c>
      <c r="Z8" s="2282"/>
      <c r="AA8" s="2124" t="s">
        <v>64</v>
      </c>
      <c r="AB8" s="2124" t="s">
        <v>19</v>
      </c>
      <c r="AC8" s="2343"/>
      <c r="AD8" s="2222">
        <v>1</v>
      </c>
      <c r="AE8" s="2344"/>
      <c r="AF8" s="2124" t="s">
        <v>19</v>
      </c>
      <c r="AG8" s="2343"/>
      <c r="AH8" s="2222">
        <v>1</v>
      </c>
      <c r="AI8" s="2344"/>
      <c r="AJ8" s="2124" t="s">
        <v>19</v>
      </c>
      <c r="AK8" s="315"/>
      <c r="AL8" s="1341">
        <v>1</v>
      </c>
      <c r="AM8" s="1402"/>
      <c r="AN8" s="755"/>
      <c r="AO8" s="1261"/>
      <c r="AP8" s="1737"/>
      <c r="AQ8" s="1463" t="s">
        <v>64</v>
      </c>
      <c r="AR8" s="1737"/>
      <c r="AS8" s="1463" t="s">
        <v>64</v>
      </c>
      <c r="AT8" s="1352"/>
      <c r="AU8" s="2270" t="s">
        <v>602</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603</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604</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605</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606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552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553</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554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64</v>
      </c>
      <c r="AR19" s="1739"/>
      <c r="AS19" s="1464" t="s">
        <v>64</v>
      </c>
      <c r="BA19" s="1159">
        <v>0</v>
      </c>
    </row>
    <row customHeight="1" ht="14.25" hidden="1">
      <c r="AV20" s="500"/>
      <c r="AW20" s="500"/>
      <c r="AX20" s="500"/>
      <c r="AY20" s="500"/>
      <c r="AZ20" s="500"/>
      <c r="BA20" s="1159">
        <v>0</v>
      </c>
    </row>
    <row customHeight="1" ht="14.25" hidden="1">
      <c r="O21" s="1371" t="s">
        <v>555</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556</v>
      </c>
      <c r="P23" s="1512"/>
      <c r="Q23" s="1514"/>
      <c r="R23" s="1514"/>
      <c r="Y23" s="1511" t="s">
        <v>558</v>
      </c>
      <c r="AA23" s="1511" t="s">
        <v>559</v>
      </c>
      <c r="AB23" s="1511" t="s">
        <v>607</v>
      </c>
      <c r="AE23" s="1511" t="s">
        <v>608</v>
      </c>
      <c r="AF23" s="1511" t="s">
        <v>607</v>
      </c>
      <c r="AI23" s="1511" t="s">
        <v>609</v>
      </c>
      <c r="AJ23" s="1511" t="s">
        <v>607</v>
      </c>
      <c r="AM23" s="1511" t="s">
        <v>610</v>
      </c>
      <c r="AQ23" s="1511" t="s">
        <v>558</v>
      </c>
      <c r="AS23" s="1511" t="s">
        <v>559</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КГУП "Примтеплоэнерго"</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561</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562</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561</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562</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565</v>
      </c>
      <c r="AB37" s="330"/>
      <c r="AC37" s="330"/>
      <c r="AD37" s="330"/>
      <c r="AE37" s="330"/>
      <c r="AF37" s="330"/>
      <c r="AG37" s="330"/>
      <c r="AH37" s="330"/>
      <c r="AI37" s="330"/>
      <c r="AJ37" s="330"/>
      <c r="AK37" s="330"/>
      <c r="AL37" s="330"/>
      <c r="AM37" s="330"/>
      <c r="AN37" s="330"/>
      <c r="AO37" s="330"/>
      <c r="AP37" s="330"/>
      <c r="AQ37" s="330"/>
      <c r="AR37" s="330"/>
      <c r="AS37" s="282" t="s">
        <v>565</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438</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439</v>
      </c>
      <c r="BA39" s="1159">
        <v>14</v>
      </c>
    </row>
    <row customHeight="1" ht="14.699999999999998">
      <c r="Q40" s="295"/>
      <c r="R40" s="380"/>
      <c r="S40" s="2290" t="s">
        <v>87</v>
      </c>
      <c r="T40" s="2226" t="s">
        <v>611</v>
      </c>
      <c r="U40" s="305"/>
      <c r="V40" s="2292"/>
      <c r="W40" s="2292"/>
      <c r="X40" s="2292"/>
      <c r="Y40" s="2292"/>
      <c r="Z40" s="2293"/>
      <c r="AA40" s="2353" t="s">
        <v>568</v>
      </c>
      <c r="AB40" s="2345" t="s">
        <v>612</v>
      </c>
      <c r="AC40" s="2308"/>
      <c r="AD40" s="2308"/>
      <c r="AE40" s="2346"/>
      <c r="AF40" s="2308" t="s">
        <v>613</v>
      </c>
      <c r="AG40" s="2308"/>
      <c r="AH40" s="2308"/>
      <c r="AI40" s="2346"/>
      <c r="AJ40" s="2345" t="s">
        <v>614</v>
      </c>
      <c r="AK40" s="2308"/>
      <c r="AL40" s="2308"/>
      <c r="AM40" s="2346"/>
      <c r="AN40" s="2345" t="s">
        <v>567</v>
      </c>
      <c r="AO40" s="2308"/>
      <c r="AP40" s="2292"/>
      <c r="AQ40" s="2292"/>
      <c r="AR40" s="2293"/>
      <c r="AS40" s="2294" t="s">
        <v>568</v>
      </c>
      <c r="AT40" s="2297" t="s">
        <v>570</v>
      </c>
      <c r="AU40" s="2144"/>
      <c r="BA40" s="1159">
        <v>14</v>
      </c>
    </row>
    <row customHeight="1" ht="35.699999999999996">
      <c r="Q41" s="295"/>
      <c r="R41" s="380"/>
      <c r="S41" s="2290"/>
      <c r="T41" s="2226"/>
      <c r="U41" s="1035"/>
      <c r="V41" s="2144" t="s">
        <v>615</v>
      </c>
      <c r="W41" s="2144"/>
      <c r="X41" s="2311" t="s">
        <v>574</v>
      </c>
      <c r="Y41" s="2330"/>
      <c r="Z41" s="2331"/>
      <c r="AA41" s="2354"/>
      <c r="AB41" s="2347"/>
      <c r="AC41" s="2348"/>
      <c r="AD41" s="2348"/>
      <c r="AE41" s="2349"/>
      <c r="AF41" s="2348"/>
      <c r="AG41" s="2348"/>
      <c r="AH41" s="2348"/>
      <c r="AI41" s="2349"/>
      <c r="AJ41" s="2347"/>
      <c r="AK41" s="2348"/>
      <c r="AL41" s="2348"/>
      <c r="AM41" s="2348"/>
      <c r="AN41" s="2144" t="s">
        <v>615</v>
      </c>
      <c r="AO41" s="2144"/>
      <c r="AP41" s="2330" t="s">
        <v>574</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279</v>
      </c>
      <c r="C43" s="1374" t="s">
        <v>280</v>
      </c>
      <c r="D43" s="1374" t="s">
        <v>281</v>
      </c>
      <c r="E43" s="1368" t="s">
        <v>575</v>
      </c>
      <c r="F43" s="1368" t="s">
        <v>576</v>
      </c>
      <c r="G43" s="1368" t="s">
        <v>577</v>
      </c>
      <c r="H43" s="1368" t="s">
        <v>578</v>
      </c>
      <c r="I43" s="1368" t="s">
        <v>579</v>
      </c>
      <c r="J43" s="1368" t="s">
        <v>580</v>
      </c>
      <c r="K43" s="1368" t="s">
        <v>581</v>
      </c>
      <c r="L43" s="1368" t="s">
        <v>556</v>
      </c>
      <c r="Q43" s="295"/>
      <c r="R43" s="380"/>
      <c r="S43" s="2290"/>
      <c r="T43" s="2226"/>
      <c r="U43" s="306"/>
      <c r="V43" s="1334" t="s">
        <v>616</v>
      </c>
      <c r="W43" s="1334" t="s">
        <v>617</v>
      </c>
      <c r="X43" s="1342" t="s">
        <v>584</v>
      </c>
      <c r="Y43" s="2287" t="s">
        <v>585</v>
      </c>
      <c r="Z43" s="2288"/>
      <c r="AA43" s="2355"/>
      <c r="AB43" s="2350"/>
      <c r="AC43" s="2351"/>
      <c r="AD43" s="2351"/>
      <c r="AE43" s="2352"/>
      <c r="AF43" s="2351"/>
      <c r="AG43" s="2351"/>
      <c r="AH43" s="2351"/>
      <c r="AI43" s="2352"/>
      <c r="AJ43" s="2350"/>
      <c r="AK43" s="2351"/>
      <c r="AL43" s="2351"/>
      <c r="AM43" s="2352"/>
      <c r="AN43" s="1861" t="s">
        <v>616</v>
      </c>
      <c r="AO43" s="1861" t="s">
        <v>617</v>
      </c>
      <c r="AP43" s="1342" t="s">
        <v>584</v>
      </c>
      <c r="AQ43" s="2287" t="s">
        <v>585</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105</v>
      </c>
      <c r="T44" s="1259" t="s">
        <v>102</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338</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267</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338</v>
      </c>
      <c r="B46" s="1367" t="s">
        <v>339</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535</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536</v>
      </c>
      <c r="AW46" s="504"/>
      <c r="AX46" s="504" t="str">
        <f>IF(T46="","",T46)</f>
        <v>Территория действия тарифа</v>
      </c>
      <c r="AY46" s="504"/>
      <c r="AZ46" s="504"/>
      <c r="BA46" s="1159">
        <v>21</v>
      </c>
    </row>
    <row customHeight="1" ht="24">
      <c r="A47" s="1367" t="s">
        <v>338</v>
      </c>
      <c r="B47" s="1367" t="s">
        <v>339</v>
      </c>
      <c r="C47" s="1367" t="s">
        <v>340</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537</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538</v>
      </c>
      <c r="AW47" s="504"/>
      <c r="AX47" s="504" t="str">
        <f>IF(T47="","",T47)</f>
        <v>Наименование системы теплоснабжения </v>
      </c>
      <c r="AY47" s="504"/>
      <c r="AZ47" s="504"/>
      <c r="BA47" s="1159">
        <v>23</v>
      </c>
    </row>
    <row customHeight="1" ht="21">
      <c r="A48" s="1367" t="s">
        <v>338</v>
      </c>
      <c r="B48" s="1367" t="s">
        <v>339</v>
      </c>
      <c r="C48" s="1367" t="s">
        <v>340</v>
      </c>
      <c r="D48" s="1367" t="s">
        <v>341</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539</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540</v>
      </c>
      <c r="AW48" s="504"/>
      <c r="AX48" s="504" t="str">
        <f>IF(T48="","",T48)</f>
        <v>Источник тепловой энергии  </v>
      </c>
      <c r="AY48" s="504"/>
      <c r="AZ48" s="504"/>
      <c r="BA48" s="1159">
        <v>20</v>
      </c>
    </row>
    <row s="1646" customFormat="1" customHeight="1" ht="1.05">
      <c r="A49" s="1347" t="s">
        <v>338</v>
      </c>
      <c r="B49" s="1347" t="s">
        <v>339</v>
      </c>
      <c r="C49" s="1347" t="s">
        <v>340</v>
      </c>
      <c r="D49" s="1347" t="s">
        <v>341</v>
      </c>
      <c r="E49" s="2276"/>
      <c r="F49" s="2276"/>
      <c r="G49" s="2276"/>
      <c r="H49" s="2276"/>
      <c r="I49" s="2273" t="str">
        <f>S48&amp;".1"</f>
        <v>....1</v>
      </c>
      <c r="J49" s="1347"/>
      <c r="K49" s="1347"/>
      <c r="L49" s="1350" t="s">
        <v>541</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338</v>
      </c>
      <c r="B50" s="1347" t="s">
        <v>339</v>
      </c>
      <c r="C50" s="1347" t="s">
        <v>340</v>
      </c>
      <c r="D50" s="1347" t="s">
        <v>341</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338</v>
      </c>
      <c r="B51" s="1367" t="s">
        <v>339</v>
      </c>
      <c r="C51" s="1367" t="s">
        <v>340</v>
      </c>
      <c r="D51" s="1367" t="s">
        <v>341</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64</v>
      </c>
      <c r="Z51" s="1737"/>
      <c r="AA51" s="1463" t="s">
        <v>64</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64</v>
      </c>
      <c r="AR51" s="1737"/>
      <c r="AS51" s="1463" t="s">
        <v>64</v>
      </c>
      <c r="AT51" s="1352"/>
      <c r="AU51" s="2270" t="s">
        <v>618</v>
      </c>
      <c r="AV51" s="515">
        <f>STRCHECKDATE(V54:AT54)</f>
      </c>
      <c r="AW51" s="504"/>
      <c r="AX51" s="504" t="str">
        <f>IF(T51="","",T51)</f>
        <v/>
      </c>
      <c r="AY51" s="504"/>
      <c r="AZ51" s="504"/>
      <c r="BA51" s="1159">
        <v>21</v>
      </c>
    </row>
    <row customHeight="1" ht="11.549999999999999">
      <c r="A52" s="1367" t="s">
        <v>338</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603</v>
      </c>
      <c r="AN52" s="1397"/>
      <c r="AO52" s="1500"/>
      <c r="AP52" s="1397"/>
      <c r="AQ52" s="1397"/>
      <c r="AR52" s="1397"/>
      <c r="AS52" s="1397"/>
      <c r="AT52" s="1394"/>
      <c r="AU52" s="2271"/>
      <c r="AW52" s="504"/>
      <c r="AX52" s="504"/>
      <c r="AY52" s="504"/>
      <c r="AZ52" s="504"/>
      <c r="BA52" s="1159">
        <v>11</v>
      </c>
    </row>
    <row customHeight="1" ht="11.549999999999999">
      <c r="A53" s="1367" t="s">
        <v>338</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604</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338</v>
      </c>
      <c r="B54" s="1367" t="s">
        <v>339</v>
      </c>
      <c r="C54" s="1367" t="s">
        <v>340</v>
      </c>
      <c r="D54" s="1367" t="s">
        <v>341</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605</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338</v>
      </c>
      <c r="B55" s="1367" t="s">
        <v>339</v>
      </c>
      <c r="C55" s="1367" t="s">
        <v>340</v>
      </c>
      <c r="D55" s="1367" t="s">
        <v>341</v>
      </c>
      <c r="E55" s="2276"/>
      <c r="F55" s="2276"/>
      <c r="G55" s="2276"/>
      <c r="H55" s="2276"/>
      <c r="I55" s="2303"/>
      <c r="J55" s="2273"/>
      <c r="K55" s="1367"/>
      <c r="L55" s="1368"/>
      <c r="P55" s="2274"/>
      <c r="Q55" s="2274"/>
      <c r="R55" s="360"/>
      <c r="S55" s="1282"/>
      <c r="T55" s="291" t="s">
        <v>606</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338</v>
      </c>
      <c r="B56" s="1347" t="s">
        <v>339</v>
      </c>
      <c r="C56" s="1347" t="s">
        <v>340</v>
      </c>
      <c r="D56" s="1347" t="s">
        <v>341</v>
      </c>
      <c r="E56" s="2276"/>
      <c r="F56" s="2276"/>
      <c r="G56" s="2276"/>
      <c r="H56" s="2276"/>
      <c r="I56" s="2273"/>
      <c r="J56" s="1347"/>
      <c r="K56" s="1347"/>
      <c r="L56" s="1350"/>
      <c r="M56" s="514"/>
      <c r="N56" s="514"/>
      <c r="O56" s="514"/>
      <c r="P56" s="2274"/>
      <c r="Q56" s="1335"/>
      <c r="R56" s="360"/>
      <c r="S56" s="1390"/>
      <c r="T56" s="1391" t="s">
        <v>550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338</v>
      </c>
      <c r="B57" s="1347" t="s">
        <v>339</v>
      </c>
      <c r="C57" s="1347" t="s">
        <v>340</v>
      </c>
      <c r="D57" s="1347" t="s">
        <v>341</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338</v>
      </c>
      <c r="B58" s="1347" t="s">
        <v>339</v>
      </c>
      <c r="C58" s="1347" t="s">
        <v>340</v>
      </c>
      <c r="D58" s="1318"/>
      <c r="E58" s="2276"/>
      <c r="F58" s="2276"/>
      <c r="G58" s="2275"/>
      <c r="H58" s="1318"/>
      <c r="I58" s="1318"/>
      <c r="J58" s="1318"/>
      <c r="K58" s="1318"/>
      <c r="L58" s="1343"/>
      <c r="M58" s="1319"/>
      <c r="N58" s="1319"/>
      <c r="P58" s="1320"/>
      <c r="Q58" s="1321"/>
      <c r="R58" s="1320"/>
      <c r="S58" s="1326"/>
      <c r="T58" s="1329" t="s">
        <v>552</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338</v>
      </c>
      <c r="B59" s="1347" t="s">
        <v>339</v>
      </c>
      <c r="C59" s="1318"/>
      <c r="D59" s="1318"/>
      <c r="E59" s="2276"/>
      <c r="F59" s="2275"/>
      <c r="G59" s="1318"/>
      <c r="H59" s="1318"/>
      <c r="I59" s="1318"/>
      <c r="J59" s="1318"/>
      <c r="K59" s="1318"/>
      <c r="L59" s="1343"/>
      <c r="M59" s="1325"/>
      <c r="N59" s="1325"/>
      <c r="P59" s="1320"/>
      <c r="Q59" s="1321"/>
      <c r="R59" s="1320"/>
      <c r="S59" s="1326"/>
      <c r="T59" s="1329" t="s">
        <v>553</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338</v>
      </c>
      <c r="B60" s="1347"/>
      <c r="C60" s="1347"/>
      <c r="D60" s="1347"/>
      <c r="E60" s="2276"/>
      <c r="F60" s="1347"/>
      <c r="G60" s="1347"/>
      <c r="H60" s="1347"/>
      <c r="I60" s="1347"/>
      <c r="J60" s="1347"/>
      <c r="K60" s="1347"/>
      <c r="L60" s="1350"/>
      <c r="M60" s="1325"/>
      <c r="N60" s="1325"/>
      <c r="O60" s="522"/>
      <c r="P60" s="384"/>
      <c r="Q60" s="1348"/>
      <c r="R60" s="384"/>
      <c r="S60" s="1326"/>
      <c r="T60" s="1329" t="s">
        <v>554</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338</v>
      </c>
      <c r="B61" s="1347"/>
      <c r="C61" s="1347"/>
      <c r="D61" s="1347"/>
      <c r="E61" s="2275"/>
      <c r="F61" s="1347"/>
      <c r="G61" s="1347"/>
      <c r="H61" s="1347"/>
      <c r="I61" s="1347"/>
      <c r="J61" s="1347"/>
      <c r="K61" s="1347"/>
      <c r="L61" s="1350"/>
      <c r="M61" s="1325"/>
      <c r="N61" s="1325"/>
      <c r="O61" s="522"/>
      <c r="P61" s="384"/>
      <c r="Q61" s="1348"/>
      <c r="R61" s="384"/>
      <c r="S61" s="1326"/>
      <c r="T61" s="1329" t="s">
        <v>554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586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0ACE9-39D8-0FD8-9588-41284BE90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267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535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536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619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620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621</v>
      </c>
      <c r="U5" s="304"/>
      <c r="V5" s="2367"/>
      <c r="W5" s="2368"/>
      <c r="X5" s="2368"/>
      <c r="Y5" s="2368"/>
      <c r="Z5" s="2368"/>
      <c r="AA5" s="2368"/>
      <c r="AB5" s="2369"/>
      <c r="AC5" s="2370"/>
      <c r="AD5" s="2371"/>
      <c r="AE5" s="2371"/>
      <c r="AF5" s="2371"/>
      <c r="AG5" s="2371"/>
      <c r="AH5" s="2371"/>
      <c r="AI5" s="2371"/>
      <c r="AJ5" s="2372"/>
      <c r="AK5" s="1262" t="s">
        <v>622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544</v>
      </c>
      <c r="P6" s="2274"/>
      <c r="Q6" s="2274">
        <v>1</v>
      </c>
      <c r="R6" s="361"/>
      <c r="S6" s="1429">
        <f>$J6</f>
      </c>
      <c r="T6" s="290" t="s">
        <v>545</v>
      </c>
      <c r="U6" s="304"/>
      <c r="V6" s="2262"/>
      <c r="W6" s="2263"/>
      <c r="X6" s="2263"/>
      <c r="Y6" s="2263"/>
      <c r="Z6" s="2263"/>
      <c r="AA6" s="2263"/>
      <c r="AB6" s="2264"/>
      <c r="AC6" s="2262"/>
      <c r="AD6" s="2263"/>
      <c r="AE6" s="2263"/>
      <c r="AF6" s="2263"/>
      <c r="AG6" s="2263"/>
      <c r="AH6" s="2263"/>
      <c r="AI6" s="2263"/>
      <c r="AJ6" s="2264"/>
      <c r="AK6" s="1311" t="s">
        <v>623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371"/>
      <c r="X9" s="371"/>
      <c r="Y9" s="371"/>
      <c r="Z9" s="371"/>
      <c r="AA9" s="371"/>
      <c r="AB9" s="371"/>
      <c r="AC9" s="371"/>
      <c r="AD9" s="371"/>
      <c r="AE9" s="371"/>
      <c r="AF9" s="371"/>
      <c r="AG9" s="371"/>
      <c r="AH9" s="371"/>
      <c r="AI9" s="371"/>
      <c r="AJ9" s="371"/>
      <c r="AK9" s="1262" t="s">
        <v>625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550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555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556</v>
      </c>
      <c r="P20" s="1366"/>
      <c r="Q20" s="1446"/>
      <c r="R20" s="1446"/>
      <c r="S20" s="733"/>
      <c r="T20" s="1164" t="s">
        <v>557</v>
      </c>
      <c r="Z20" s="190" t="s">
        <v>558</v>
      </c>
      <c r="AB20" s="190" t="s">
        <v>559</v>
      </c>
      <c r="AC20" s="1164" t="s">
        <v>557</v>
      </c>
      <c r="AG20" s="190" t="s">
        <v>560</v>
      </c>
      <c r="AI20" s="190" t="s">
        <v>559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565</v>
      </c>
      <c r="AC34" s="330"/>
      <c r="AD34" s="330"/>
      <c r="AE34" s="330"/>
      <c r="AF34" s="330"/>
      <c r="AG34" s="330"/>
      <c r="AH34" s="330"/>
      <c r="AI34" s="282" t="s">
        <v>565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t="s">
        <v>439</v>
      </c>
      <c r="AQ36" s="1159">
        <v>14</v>
      </c>
    </row>
    <row customHeight="1" ht="14.699999999999998">
      <c r="Q37" s="380"/>
      <c r="R37" s="380"/>
      <c r="S37" s="2290" t="s">
        <v>87</v>
      </c>
      <c r="T37" s="2226" t="s">
        <v>566</v>
      </c>
      <c r="U37" s="305"/>
      <c r="V37" s="2291" t="s">
        <v>567</v>
      </c>
      <c r="W37" s="2292"/>
      <c r="X37" s="2292"/>
      <c r="Y37" s="2292"/>
      <c r="Z37" s="2292"/>
      <c r="AA37" s="2293"/>
      <c r="AB37" s="2294" t="s">
        <v>568</v>
      </c>
      <c r="AC37" s="2291" t="s">
        <v>567</v>
      </c>
      <c r="AD37" s="2292"/>
      <c r="AE37" s="2292"/>
      <c r="AF37" s="2292"/>
      <c r="AG37" s="2292"/>
      <c r="AH37" s="2293"/>
      <c r="AI37" s="2294" t="s">
        <v>569</v>
      </c>
      <c r="AJ37" s="2297" t="s">
        <v>570</v>
      </c>
      <c r="AK37" s="2144"/>
      <c r="AQ37" s="1159">
        <v>14</v>
      </c>
    </row>
    <row customHeight="1" ht="35.699999999999996">
      <c r="Q38" s="380"/>
      <c r="R38" s="380"/>
      <c r="S38" s="2290"/>
      <c r="T38" s="2226"/>
      <c r="U38" s="1035"/>
      <c r="V38" s="1356" t="s">
        <v>627</v>
      </c>
      <c r="W38" s="2279" t="s">
        <v>573</v>
      </c>
      <c r="X38" s="2280"/>
      <c r="Y38" s="2279" t="s">
        <v>574</v>
      </c>
      <c r="Z38" s="2286"/>
      <c r="AA38" s="2280"/>
      <c r="AB38" s="2295"/>
      <c r="AC38" s="1356" t="s">
        <v>627</v>
      </c>
      <c r="AD38" s="2279" t="s">
        <v>573</v>
      </c>
      <c r="AE38" s="2280"/>
      <c r="AF38" s="2279" t="s">
        <v>574</v>
      </c>
      <c r="AG38" s="2286"/>
      <c r="AH38" s="2280"/>
      <c r="AI38" s="2295"/>
      <c r="AJ38" s="2298"/>
      <c r="AK38" s="2144"/>
      <c r="AQ38" s="1159">
        <v>34</v>
      </c>
    </row>
    <row customHeight="1" ht="35.699999999999996">
      <c r="A39" s="1374"/>
      <c r="B39" s="1374" t="s">
        <v>279</v>
      </c>
      <c r="C39" s="1374" t="s">
        <v>280</v>
      </c>
      <c r="D39" s="1374" t="s">
        <v>281</v>
      </c>
      <c r="E39" s="1368" t="s">
        <v>575</v>
      </c>
      <c r="F39" s="1368" t="s">
        <v>576</v>
      </c>
      <c r="G39" s="1368" t="s">
        <v>577</v>
      </c>
      <c r="H39" s="1368"/>
      <c r="I39" s="1368" t="s">
        <v>628</v>
      </c>
      <c r="J39" s="1368" t="s">
        <v>580</v>
      </c>
      <c r="K39" s="1368" t="s">
        <v>629</v>
      </c>
      <c r="L39" s="1368" t="s">
        <v>556</v>
      </c>
      <c r="Q39" s="380"/>
      <c r="R39" s="380"/>
      <c r="S39" s="2290"/>
      <c r="T39" s="2226"/>
      <c r="U39" s="306"/>
      <c r="V39" s="1356" t="s">
        <v>630</v>
      </c>
      <c r="W39" s="1226" t="s">
        <v>631</v>
      </c>
      <c r="X39" s="1226" t="s">
        <v>632</v>
      </c>
      <c r="Y39" s="1361" t="s">
        <v>584</v>
      </c>
      <c r="Z39" s="2287" t="s">
        <v>585</v>
      </c>
      <c r="AA39" s="2288"/>
      <c r="AB39" s="2296"/>
      <c r="AC39" s="1356" t="s">
        <v>630</v>
      </c>
      <c r="AD39" s="1226" t="s">
        <v>631</v>
      </c>
      <c r="AE39" s="1226" t="s">
        <v>632</v>
      </c>
      <c r="AF39" s="1361" t="s">
        <v>584</v>
      </c>
      <c r="AG39" s="2287" t="s">
        <v>585</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102</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364</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267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364</v>
      </c>
      <c r="B42" s="1367" t="s">
        <v>365</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535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536</v>
      </c>
      <c r="AM42" s="504"/>
      <c r="AN42" s="504" t="str">
        <f>IF(T42="","",T42)</f>
        <v>Территория действия тарифа</v>
      </c>
      <c r="AO42" s="504"/>
      <c r="AP42" s="504"/>
      <c r="AQ42" s="1159">
        <v>23</v>
      </c>
    </row>
    <row customHeight="1" ht="24">
      <c r="A43" s="1367" t="s">
        <v>364</v>
      </c>
      <c r="B43" s="1367" t="s">
        <v>365</v>
      </c>
      <c r="C43" s="1367" t="s">
        <v>366</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619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620</v>
      </c>
      <c r="AM43" s="504"/>
      <c r="AN43" s="504" t="str">
        <f>IF(T43="","",T43)</f>
        <v>Наименование централизованной системы холодного водоснабжения</v>
      </c>
      <c r="AO43" s="504"/>
      <c r="AP43" s="504"/>
      <c r="AQ43" s="1159">
        <v>23</v>
      </c>
    </row>
    <row customHeight="1" ht="24">
      <c r="A44" s="1367" t="s">
        <v>364</v>
      </c>
      <c r="B44" s="1367" t="s">
        <v>365</v>
      </c>
      <c r="C44" s="1367" t="s">
        <v>366</v>
      </c>
      <c r="D44" s="1367" t="s">
        <v>633</v>
      </c>
      <c r="E44" s="2276"/>
      <c r="F44" s="2276"/>
      <c r="G44" s="2276"/>
      <c r="H44" s="2276"/>
      <c r="I44" s="2273" t="str">
        <f>S43&amp;".1"</f>
        <v>...1</v>
      </c>
      <c r="J44" s="1367"/>
      <c r="K44" s="1367"/>
      <c r="L44" s="1368"/>
      <c r="P44" s="2274">
        <v>1</v>
      </c>
      <c r="Q44" s="1358"/>
      <c r="R44" s="360"/>
      <c r="S44" s="1362" t="str">
        <f>$I44</f>
        <v>...1</v>
      </c>
      <c r="T44" s="289" t="s">
        <v>621</v>
      </c>
      <c r="U44" s="304"/>
      <c r="V44" s="2367"/>
      <c r="W44" s="2368"/>
      <c r="X44" s="2368"/>
      <c r="Y44" s="2368"/>
      <c r="Z44" s="2368"/>
      <c r="AA44" s="2368"/>
      <c r="AB44" s="2369"/>
      <c r="AC44" s="2370"/>
      <c r="AD44" s="2371"/>
      <c r="AE44" s="2371"/>
      <c r="AF44" s="2371"/>
      <c r="AG44" s="2371"/>
      <c r="AH44" s="2371"/>
      <c r="AI44" s="2371"/>
      <c r="AJ44" s="2372"/>
      <c r="AK44" s="1262" t="s">
        <v>622</v>
      </c>
      <c r="AM44" s="504"/>
      <c r="AN44" s="504" t="str">
        <f>IF(T44="","",T44)</f>
        <v>Наименование признака дифференциации</v>
      </c>
      <c r="AO44" s="504"/>
      <c r="AP44" s="504"/>
      <c r="AQ44" s="1159">
        <v>23</v>
      </c>
    </row>
    <row customHeight="1" ht="24">
      <c r="A45" s="1367" t="s">
        <v>364</v>
      </c>
      <c r="B45" s="1367" t="s">
        <v>365</v>
      </c>
      <c r="C45" s="1367" t="s">
        <v>366</v>
      </c>
      <c r="D45" s="1367" t="s">
        <v>633</v>
      </c>
      <c r="E45" s="2276"/>
      <c r="F45" s="2276"/>
      <c r="G45" s="2276"/>
      <c r="H45" s="2276"/>
      <c r="I45" s="2303"/>
      <c r="J45" s="2273" t="str">
        <f>I44&amp;".1"</f>
        <v>...1.1</v>
      </c>
      <c r="K45" s="1367"/>
      <c r="L45" s="1368" t="s">
        <v>544</v>
      </c>
      <c r="P45" s="2274"/>
      <c r="Q45" s="2274">
        <v>1</v>
      </c>
      <c r="R45" s="361"/>
      <c r="S45" s="1362" t="str">
        <f>$J45</f>
        <v>...1.1</v>
      </c>
      <c r="T45" s="290" t="s">
        <v>545</v>
      </c>
      <c r="U45" s="304"/>
      <c r="V45" s="2262"/>
      <c r="W45" s="2263"/>
      <c r="X45" s="2263"/>
      <c r="Y45" s="2263"/>
      <c r="Z45" s="2263"/>
      <c r="AA45" s="2263"/>
      <c r="AB45" s="2264"/>
      <c r="AC45" s="2262"/>
      <c r="AD45" s="2263"/>
      <c r="AE45" s="2263"/>
      <c r="AF45" s="2263"/>
      <c r="AG45" s="2263"/>
      <c r="AH45" s="2263"/>
      <c r="AI45" s="2263"/>
      <c r="AJ45" s="2264"/>
      <c r="AK45" s="1311" t="s">
        <v>623</v>
      </c>
      <c r="AM45" s="504"/>
      <c r="AN45" s="504" t="str">
        <f>IF(T45="","",T45)</f>
        <v>Группа потребителей</v>
      </c>
      <c r="AO45" s="504"/>
      <c r="AP45" s="504"/>
      <c r="AQ45" s="1159">
        <v>23</v>
      </c>
    </row>
    <row customHeight="1" ht="24">
      <c r="A46" s="1367" t="s">
        <v>364</v>
      </c>
      <c r="B46" s="1367" t="s">
        <v>365</v>
      </c>
      <c r="C46" s="1367" t="s">
        <v>366</v>
      </c>
      <c r="D46" s="1367" t="s">
        <v>633</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64</v>
      </c>
      <c r="AA46" s="2284"/>
      <c r="AB46" s="2285" t="s">
        <v>64</v>
      </c>
      <c r="AC46" s="755"/>
      <c r="AD46" s="755"/>
      <c r="AE46" s="1261"/>
      <c r="AF46" s="2282"/>
      <c r="AG46" s="2124" t="s">
        <v>64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364</v>
      </c>
      <c r="B47" s="1367" t="s">
        <v>365</v>
      </c>
      <c r="C47" s="1367" t="s">
        <v>366</v>
      </c>
      <c r="D47" s="1367" t="s">
        <v>633</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364</v>
      </c>
      <c r="B48" s="1367" t="s">
        <v>365</v>
      </c>
      <c r="C48" s="1367" t="s">
        <v>366</v>
      </c>
      <c r="D48" s="1367" t="s">
        <v>633</v>
      </c>
      <c r="E48" s="2276"/>
      <c r="F48" s="2276"/>
      <c r="G48" s="2276"/>
      <c r="H48" s="2276"/>
      <c r="I48" s="2303"/>
      <c r="J48" s="2273"/>
      <c r="K48" s="1367"/>
      <c r="L48" s="1368"/>
      <c r="P48" s="2274"/>
      <c r="Q48" s="2274"/>
      <c r="R48" s="360"/>
      <c r="S48" s="1282"/>
      <c r="T48" s="291" t="s">
        <v>624</v>
      </c>
      <c r="U48" s="371"/>
      <c r="V48" s="371"/>
      <c r="W48" s="371"/>
      <c r="X48" s="371"/>
      <c r="Y48" s="371"/>
      <c r="Z48" s="371"/>
      <c r="AA48" s="371"/>
      <c r="AB48" s="371"/>
      <c r="AC48" s="371"/>
      <c r="AD48" s="371"/>
      <c r="AE48" s="371"/>
      <c r="AF48" s="371"/>
      <c r="AG48" s="371"/>
      <c r="AH48" s="371"/>
      <c r="AI48" s="371"/>
      <c r="AJ48" s="371"/>
      <c r="AK48" s="1262" t="s">
        <v>625</v>
      </c>
      <c r="AM48" s="504"/>
      <c r="AN48" s="504" t="str">
        <f>IF(T48="","",T48)</f>
        <v>Добавить значение признака дифференциации</v>
      </c>
      <c r="AO48" s="504"/>
      <c r="AP48" s="504"/>
      <c r="AQ48" s="1159">
        <v>20</v>
      </c>
    </row>
    <row customHeight="1" ht="22.049999999999997">
      <c r="A49" s="1367" t="s">
        <v>364</v>
      </c>
      <c r="B49" s="1367" t="s">
        <v>365</v>
      </c>
      <c r="C49" s="1367" t="s">
        <v>366</v>
      </c>
      <c r="D49" s="1367" t="s">
        <v>633</v>
      </c>
      <c r="E49" s="2276"/>
      <c r="F49" s="2276"/>
      <c r="G49" s="2276"/>
      <c r="H49" s="2276"/>
      <c r="I49" s="2273"/>
      <c r="J49" s="1367"/>
      <c r="K49" s="1367"/>
      <c r="L49" s="1368"/>
      <c r="P49" s="2274"/>
      <c r="Q49" s="1358"/>
      <c r="R49" s="360"/>
      <c r="S49" s="1282"/>
      <c r="T49" s="369" t="s">
        <v>550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364</v>
      </c>
      <c r="B50" s="1367" t="s">
        <v>365</v>
      </c>
      <c r="C50" s="1367" t="s">
        <v>366</v>
      </c>
      <c r="D50" s="1367" t="s">
        <v>633</v>
      </c>
      <c r="E50" s="2276"/>
      <c r="F50" s="2276"/>
      <c r="G50" s="2276"/>
      <c r="H50" s="2275"/>
      <c r="I50" s="1367"/>
      <c r="J50" s="1367"/>
      <c r="K50" s="1367"/>
      <c r="L50" s="1368"/>
      <c r="M50" s="1369"/>
      <c r="N50" s="1369"/>
      <c r="O50" s="541"/>
      <c r="P50" s="364"/>
      <c r="Q50" s="379"/>
      <c r="R50" s="359"/>
      <c r="S50" s="1282"/>
      <c r="T50" s="376" t="s">
        <v>626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364</v>
      </c>
      <c r="B51" s="1347" t="s">
        <v>365</v>
      </c>
      <c r="C51" s="1318"/>
      <c r="D51" s="1318"/>
      <c r="E51" s="2276"/>
      <c r="F51" s="2275"/>
      <c r="G51" s="1318"/>
      <c r="H51" s="1318"/>
      <c r="I51" s="1318"/>
      <c r="J51" s="1318"/>
      <c r="K51" s="1318"/>
      <c r="L51" s="1430"/>
      <c r="M51" s="1325"/>
      <c r="N51" s="1325"/>
      <c r="P51" s="1320"/>
      <c r="Q51" s="1321"/>
      <c r="R51" s="1320"/>
      <c r="S51" s="1326"/>
      <c r="T51" s="1329" t="s">
        <v>553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364</v>
      </c>
      <c r="B52" s="1347"/>
      <c r="C52" s="1347"/>
      <c r="D52" s="1347"/>
      <c r="E52" s="2275"/>
      <c r="F52" s="1347"/>
      <c r="G52" s="1347"/>
      <c r="H52" s="1347"/>
      <c r="I52" s="1347"/>
      <c r="J52" s="1347"/>
      <c r="K52" s="1347"/>
      <c r="L52" s="1350"/>
      <c r="M52" s="1325"/>
      <c r="N52" s="1325"/>
      <c r="O52" s="522"/>
      <c r="P52" s="384"/>
      <c r="Q52" s="1348"/>
      <c r="R52" s="384"/>
      <c r="S52" s="1326"/>
      <c r="T52" s="1329" t="s">
        <v>554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586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9AF3F-94D8-80BA-6FD2-852F59880C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267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535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536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619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620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621</v>
      </c>
      <c r="U5" s="304"/>
      <c r="V5" s="2367"/>
      <c r="W5" s="2368"/>
      <c r="X5" s="2368"/>
      <c r="Y5" s="2368"/>
      <c r="Z5" s="2368"/>
      <c r="AA5" s="2368"/>
      <c r="AB5" s="2369"/>
      <c r="AC5" s="2370"/>
      <c r="AD5" s="2371"/>
      <c r="AE5" s="2371"/>
      <c r="AF5" s="2371"/>
      <c r="AG5" s="2371"/>
      <c r="AH5" s="2371"/>
      <c r="AI5" s="2371"/>
      <c r="AJ5" s="2372"/>
      <c r="AK5" s="1262" t="s">
        <v>622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544</v>
      </c>
      <c r="P6" s="2274"/>
      <c r="Q6" s="2274">
        <v>1</v>
      </c>
      <c r="R6" s="361"/>
      <c r="S6" s="1461">
        <f>$J6</f>
      </c>
      <c r="T6" s="290" t="s">
        <v>545</v>
      </c>
      <c r="U6" s="304"/>
      <c r="V6" s="2262"/>
      <c r="W6" s="2263"/>
      <c r="X6" s="2263"/>
      <c r="Y6" s="2263"/>
      <c r="Z6" s="2263"/>
      <c r="AA6" s="2263"/>
      <c r="AB6" s="2264"/>
      <c r="AC6" s="2262"/>
      <c r="AD6" s="2263"/>
      <c r="AE6" s="2263"/>
      <c r="AF6" s="2263"/>
      <c r="AG6" s="2263"/>
      <c r="AH6" s="2263"/>
      <c r="AI6" s="2263"/>
      <c r="AJ6" s="2264"/>
      <c r="AK6" s="1311" t="s">
        <v>623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371"/>
      <c r="X9" s="371"/>
      <c r="Y9" s="371"/>
      <c r="Z9" s="371"/>
      <c r="AA9" s="371"/>
      <c r="AB9" s="371"/>
      <c r="AC9" s="371"/>
      <c r="AD9" s="371"/>
      <c r="AE9" s="371"/>
      <c r="AF9" s="371"/>
      <c r="AG9" s="371"/>
      <c r="AH9" s="371"/>
      <c r="AI9" s="371"/>
      <c r="AJ9" s="371"/>
      <c r="AK9" s="1262" t="s">
        <v>625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550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555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556</v>
      </c>
      <c r="P20" s="1366"/>
      <c r="Q20" s="1446"/>
      <c r="R20" s="1446"/>
      <c r="S20" s="733"/>
      <c r="T20" s="1164" t="s">
        <v>557</v>
      </c>
      <c r="Z20" s="190" t="s">
        <v>558</v>
      </c>
      <c r="AB20" s="190" t="s">
        <v>559</v>
      </c>
      <c r="AC20" s="1164" t="s">
        <v>557</v>
      </c>
      <c r="AG20" s="190" t="s">
        <v>560</v>
      </c>
      <c r="AI20" s="190" t="s">
        <v>559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565</v>
      </c>
      <c r="AC34" s="330"/>
      <c r="AD34" s="330"/>
      <c r="AE34" s="330"/>
      <c r="AF34" s="330"/>
      <c r="AG34" s="330"/>
      <c r="AH34" s="330"/>
      <c r="AI34" s="282" t="s">
        <v>565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t="s">
        <v>439</v>
      </c>
      <c r="AQ36" s="1159">
        <v>14</v>
      </c>
    </row>
    <row customHeight="1" ht="14.699999999999998">
      <c r="Q37" s="380"/>
      <c r="R37" s="380"/>
      <c r="S37" s="2290" t="s">
        <v>87</v>
      </c>
      <c r="T37" s="2226" t="s">
        <v>566</v>
      </c>
      <c r="U37" s="305"/>
      <c r="V37" s="2291" t="s">
        <v>567</v>
      </c>
      <c r="W37" s="2292"/>
      <c r="X37" s="2292"/>
      <c r="Y37" s="2292"/>
      <c r="Z37" s="2292"/>
      <c r="AA37" s="2293"/>
      <c r="AB37" s="2294" t="s">
        <v>568</v>
      </c>
      <c r="AC37" s="2291" t="s">
        <v>567</v>
      </c>
      <c r="AD37" s="2292"/>
      <c r="AE37" s="2292"/>
      <c r="AF37" s="2292"/>
      <c r="AG37" s="2292"/>
      <c r="AH37" s="2293"/>
      <c r="AI37" s="2294" t="s">
        <v>569</v>
      </c>
      <c r="AJ37" s="2297" t="s">
        <v>570</v>
      </c>
      <c r="AK37" s="2144"/>
      <c r="AQ37" s="1159">
        <v>14</v>
      </c>
    </row>
    <row customHeight="1" ht="35.699999999999996">
      <c r="Q38" s="380"/>
      <c r="R38" s="380"/>
      <c r="S38" s="2290"/>
      <c r="T38" s="2226"/>
      <c r="U38" s="1035"/>
      <c r="V38" s="1456" t="s">
        <v>627</v>
      </c>
      <c r="W38" s="2279" t="s">
        <v>573</v>
      </c>
      <c r="X38" s="2280"/>
      <c r="Y38" s="2279" t="s">
        <v>574</v>
      </c>
      <c r="Z38" s="2286"/>
      <c r="AA38" s="2280"/>
      <c r="AB38" s="2295"/>
      <c r="AC38" s="1456" t="s">
        <v>627</v>
      </c>
      <c r="AD38" s="2279" t="s">
        <v>573</v>
      </c>
      <c r="AE38" s="2280"/>
      <c r="AF38" s="2279" t="s">
        <v>574</v>
      </c>
      <c r="AG38" s="2286"/>
      <c r="AH38" s="2280"/>
      <c r="AI38" s="2295"/>
      <c r="AJ38" s="2298"/>
      <c r="AK38" s="2144"/>
      <c r="AQ38" s="1159">
        <v>34</v>
      </c>
    </row>
    <row customHeight="1" ht="35.699999999999996">
      <c r="A39" s="1374"/>
      <c r="B39" s="1374" t="s">
        <v>279</v>
      </c>
      <c r="C39" s="1374" t="s">
        <v>280</v>
      </c>
      <c r="D39" s="1374" t="s">
        <v>281</v>
      </c>
      <c r="E39" s="1368" t="s">
        <v>575</v>
      </c>
      <c r="F39" s="1368" t="s">
        <v>576</v>
      </c>
      <c r="G39" s="1368" t="s">
        <v>577</v>
      </c>
      <c r="H39" s="1368"/>
      <c r="I39" s="1368" t="s">
        <v>628</v>
      </c>
      <c r="J39" s="1368" t="s">
        <v>580</v>
      </c>
      <c r="K39" s="1368" t="s">
        <v>629</v>
      </c>
      <c r="L39" s="1368" t="s">
        <v>556</v>
      </c>
      <c r="Q39" s="380"/>
      <c r="R39" s="380"/>
      <c r="S39" s="2290"/>
      <c r="T39" s="2226"/>
      <c r="U39" s="306"/>
      <c r="V39" s="1456" t="s">
        <v>630</v>
      </c>
      <c r="W39" s="1226" t="s">
        <v>631</v>
      </c>
      <c r="X39" s="1226" t="s">
        <v>632</v>
      </c>
      <c r="Y39" s="1459" t="s">
        <v>584</v>
      </c>
      <c r="Z39" s="2287" t="s">
        <v>585</v>
      </c>
      <c r="AA39" s="2288"/>
      <c r="AB39" s="2296"/>
      <c r="AC39" s="1456" t="s">
        <v>630</v>
      </c>
      <c r="AD39" s="1226" t="s">
        <v>631</v>
      </c>
      <c r="AE39" s="1226" t="s">
        <v>632</v>
      </c>
      <c r="AF39" s="1459" t="s">
        <v>584</v>
      </c>
      <c r="AG39" s="2287" t="s">
        <v>585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369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267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369</v>
      </c>
      <c r="B42" s="1367" t="s">
        <v>370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535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536</v>
      </c>
      <c r="AM42" s="504"/>
      <c r="AN42" s="504" t="str">
        <f>IF(T42="","",T42)</f>
        <v>Территория действия тарифа</v>
      </c>
      <c r="AO42" s="504"/>
      <c r="AP42" s="504"/>
      <c r="AQ42" s="1159">
        <v>23</v>
      </c>
    </row>
    <row customHeight="1" ht="24">
      <c r="A43" s="1367" t="s">
        <v>369</v>
      </c>
      <c r="B43" s="1367" t="s">
        <v>370</v>
      </c>
      <c r="C43" s="1367" t="s">
        <v>371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619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620</v>
      </c>
      <c r="AM43" s="504"/>
      <c r="AN43" s="504" t="str">
        <f>IF(T43="","",T43)</f>
        <v>Наименование централизованной системы холодного водоснабжения</v>
      </c>
      <c r="AO43" s="504"/>
      <c r="AP43" s="504"/>
      <c r="AQ43" s="1159">
        <v>23</v>
      </c>
    </row>
    <row customHeight="1" ht="24">
      <c r="A44" s="1367" t="s">
        <v>369</v>
      </c>
      <c r="B44" s="1367" t="s">
        <v>370</v>
      </c>
      <c r="C44" s="1367" t="s">
        <v>371</v>
      </c>
      <c r="D44" s="1367" t="s">
        <v>634</v>
      </c>
      <c r="E44" s="2276"/>
      <c r="F44" s="2276"/>
      <c r="G44" s="2276"/>
      <c r="H44" s="2276"/>
      <c r="I44" s="2273" t="str">
        <f>S43&amp;".1"</f>
        <v>...1</v>
      </c>
      <c r="J44" s="1367"/>
      <c r="K44" s="1367"/>
      <c r="L44" s="1368"/>
      <c r="P44" s="2274">
        <v>1</v>
      </c>
      <c r="Q44" s="1454"/>
      <c r="R44" s="360"/>
      <c r="S44" s="1461" t="str">
        <f>$I44</f>
        <v>...1</v>
      </c>
      <c r="T44" s="289" t="s">
        <v>621</v>
      </c>
      <c r="U44" s="304"/>
      <c r="V44" s="2367"/>
      <c r="W44" s="2368"/>
      <c r="X44" s="2368"/>
      <c r="Y44" s="2368"/>
      <c r="Z44" s="2368"/>
      <c r="AA44" s="2368"/>
      <c r="AB44" s="2369"/>
      <c r="AC44" s="2370"/>
      <c r="AD44" s="2371"/>
      <c r="AE44" s="2371"/>
      <c r="AF44" s="2371"/>
      <c r="AG44" s="2371"/>
      <c r="AH44" s="2371"/>
      <c r="AI44" s="2371"/>
      <c r="AJ44" s="2372"/>
      <c r="AK44" s="1262" t="s">
        <v>622</v>
      </c>
      <c r="AM44" s="504"/>
      <c r="AN44" s="504" t="str">
        <f>IF(T44="","",T44)</f>
        <v>Наименование признака дифференциации</v>
      </c>
      <c r="AO44" s="504"/>
      <c r="AP44" s="504"/>
      <c r="AQ44" s="1159">
        <v>23</v>
      </c>
    </row>
    <row customHeight="1" ht="24">
      <c r="A45" s="1367" t="s">
        <v>369</v>
      </c>
      <c r="B45" s="1367" t="s">
        <v>370</v>
      </c>
      <c r="C45" s="1367" t="s">
        <v>371</v>
      </c>
      <c r="D45" s="1367" t="s">
        <v>634</v>
      </c>
      <c r="E45" s="2276"/>
      <c r="F45" s="2276"/>
      <c r="G45" s="2276"/>
      <c r="H45" s="2276"/>
      <c r="I45" s="2303"/>
      <c r="J45" s="2273" t="str">
        <f>I44&amp;".1"</f>
        <v>...1.1</v>
      </c>
      <c r="K45" s="1367"/>
      <c r="L45" s="1368" t="s">
        <v>544</v>
      </c>
      <c r="P45" s="2274"/>
      <c r="Q45" s="2274">
        <v>1</v>
      </c>
      <c r="R45" s="361"/>
      <c r="S45" s="1461" t="str">
        <f>$J45</f>
        <v>...1.1</v>
      </c>
      <c r="T45" s="290" t="s">
        <v>545</v>
      </c>
      <c r="U45" s="304"/>
      <c r="V45" s="2262"/>
      <c r="W45" s="2263"/>
      <c r="X45" s="2263"/>
      <c r="Y45" s="2263"/>
      <c r="Z45" s="2263"/>
      <c r="AA45" s="2263"/>
      <c r="AB45" s="2264"/>
      <c r="AC45" s="2262"/>
      <c r="AD45" s="2263"/>
      <c r="AE45" s="2263"/>
      <c r="AF45" s="2263"/>
      <c r="AG45" s="2263"/>
      <c r="AH45" s="2263"/>
      <c r="AI45" s="2263"/>
      <c r="AJ45" s="2264"/>
      <c r="AK45" s="1311" t="s">
        <v>623</v>
      </c>
      <c r="AM45" s="504"/>
      <c r="AN45" s="504" t="str">
        <f>IF(T45="","",T45)</f>
        <v>Группа потребителей</v>
      </c>
      <c r="AO45" s="504"/>
      <c r="AP45" s="504"/>
      <c r="AQ45" s="1159">
        <v>23</v>
      </c>
    </row>
    <row customHeight="1" ht="24">
      <c r="A46" s="1367" t="s">
        <v>369</v>
      </c>
      <c r="B46" s="1367" t="s">
        <v>370</v>
      </c>
      <c r="C46" s="1367" t="s">
        <v>371</v>
      </c>
      <c r="D46" s="1367" t="s">
        <v>634</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64</v>
      </c>
      <c r="AA46" s="2282"/>
      <c r="AB46" s="2124" t="s">
        <v>64</v>
      </c>
      <c r="AC46" s="755"/>
      <c r="AD46" s="755"/>
      <c r="AE46" s="1261"/>
      <c r="AF46" s="2282"/>
      <c r="AG46" s="2124" t="s">
        <v>64</v>
      </c>
      <c r="AH46" s="2304"/>
      <c r="AI46" s="2124" t="s">
        <v>64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369</v>
      </c>
      <c r="B47" s="1367" t="s">
        <v>370</v>
      </c>
      <c r="C47" s="1367" t="s">
        <v>371</v>
      </c>
      <c r="D47" s="1367" t="s">
        <v>634</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369</v>
      </c>
      <c r="B48" s="1367" t="s">
        <v>370</v>
      </c>
      <c r="C48" s="1367" t="s">
        <v>371</v>
      </c>
      <c r="D48" s="1367" t="s">
        <v>634</v>
      </c>
      <c r="E48" s="2276"/>
      <c r="F48" s="2276"/>
      <c r="G48" s="2276"/>
      <c r="H48" s="2276"/>
      <c r="I48" s="2303"/>
      <c r="J48" s="2273"/>
      <c r="K48" s="1367"/>
      <c r="L48" s="1368"/>
      <c r="P48" s="2274"/>
      <c r="Q48" s="2274"/>
      <c r="R48" s="360"/>
      <c r="S48" s="1282"/>
      <c r="T48" s="291" t="s">
        <v>624</v>
      </c>
      <c r="U48" s="371"/>
      <c r="V48" s="371"/>
      <c r="W48" s="371"/>
      <c r="X48" s="371"/>
      <c r="Y48" s="371"/>
      <c r="Z48" s="371"/>
      <c r="AA48" s="371"/>
      <c r="AB48" s="371"/>
      <c r="AC48" s="371"/>
      <c r="AD48" s="371"/>
      <c r="AE48" s="371"/>
      <c r="AF48" s="371"/>
      <c r="AG48" s="371"/>
      <c r="AH48" s="371"/>
      <c r="AI48" s="371"/>
      <c r="AJ48" s="371"/>
      <c r="AK48" s="1262" t="s">
        <v>625</v>
      </c>
      <c r="AM48" s="504"/>
      <c r="AN48" s="504" t="str">
        <f>IF(T48="","",T48)</f>
        <v>Добавить значение признака дифференциации</v>
      </c>
      <c r="AO48" s="504"/>
      <c r="AP48" s="504"/>
      <c r="AQ48" s="1159">
        <v>20</v>
      </c>
    </row>
    <row customHeight="1" ht="22.049999999999997">
      <c r="A49" s="1367" t="s">
        <v>369</v>
      </c>
      <c r="B49" s="1367" t="s">
        <v>370</v>
      </c>
      <c r="C49" s="1367" t="s">
        <v>371</v>
      </c>
      <c r="D49" s="1367" t="s">
        <v>634</v>
      </c>
      <c r="E49" s="2276"/>
      <c r="F49" s="2276"/>
      <c r="G49" s="2276"/>
      <c r="H49" s="2276"/>
      <c r="I49" s="2273"/>
      <c r="J49" s="1367"/>
      <c r="K49" s="1367"/>
      <c r="L49" s="1368"/>
      <c r="P49" s="2274"/>
      <c r="Q49" s="1454"/>
      <c r="R49" s="360"/>
      <c r="S49" s="1282"/>
      <c r="T49" s="369" t="s">
        <v>550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369</v>
      </c>
      <c r="B50" s="1367" t="s">
        <v>370</v>
      </c>
      <c r="C50" s="1367" t="s">
        <v>371</v>
      </c>
      <c r="D50" s="1367" t="s">
        <v>634</v>
      </c>
      <c r="E50" s="2276"/>
      <c r="F50" s="2276"/>
      <c r="G50" s="2276"/>
      <c r="H50" s="2275"/>
      <c r="I50" s="1367"/>
      <c r="J50" s="1367"/>
      <c r="K50" s="1367"/>
      <c r="L50" s="1368"/>
      <c r="M50" s="1369"/>
      <c r="N50" s="1369"/>
      <c r="O50" s="541"/>
      <c r="P50" s="364"/>
      <c r="Q50" s="379"/>
      <c r="R50" s="359"/>
      <c r="S50" s="1282"/>
      <c r="T50" s="376" t="s">
        <v>626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369</v>
      </c>
      <c r="B51" s="1347" t="s">
        <v>370</v>
      </c>
      <c r="C51" s="1318"/>
      <c r="D51" s="1318"/>
      <c r="E51" s="2276"/>
      <c r="F51" s="2275"/>
      <c r="G51" s="1318"/>
      <c r="H51" s="1318"/>
      <c r="I51" s="1318"/>
      <c r="J51" s="1318"/>
      <c r="K51" s="1318"/>
      <c r="L51" s="1462"/>
      <c r="M51" s="1325"/>
      <c r="N51" s="1325"/>
      <c r="P51" s="1320"/>
      <c r="Q51" s="1321"/>
      <c r="R51" s="1320"/>
      <c r="S51" s="1326"/>
      <c r="T51" s="1329" t="s">
        <v>553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369</v>
      </c>
      <c r="B52" s="1347"/>
      <c r="C52" s="1347"/>
      <c r="D52" s="1347"/>
      <c r="E52" s="2275"/>
      <c r="F52" s="1347"/>
      <c r="G52" s="1347"/>
      <c r="H52" s="1347"/>
      <c r="I52" s="1347"/>
      <c r="J52" s="1347"/>
      <c r="K52" s="1347"/>
      <c r="L52" s="1350"/>
      <c r="M52" s="1325"/>
      <c r="N52" s="1325"/>
      <c r="O52" s="522"/>
      <c r="P52" s="384"/>
      <c r="Q52" s="1348"/>
      <c r="R52" s="384"/>
      <c r="S52" s="1326"/>
      <c r="T52" s="1329" t="s">
        <v>554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586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D2A0C-5CE8-F028-9CEA-DD88D682FB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267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535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536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619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620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621</v>
      </c>
      <c r="U5" s="304"/>
      <c r="V5" s="2367"/>
      <c r="W5" s="2368"/>
      <c r="X5" s="2368"/>
      <c r="Y5" s="2368"/>
      <c r="Z5" s="2368"/>
      <c r="AA5" s="2368"/>
      <c r="AB5" s="2369"/>
      <c r="AC5" s="2370"/>
      <c r="AD5" s="2371"/>
      <c r="AE5" s="2371"/>
      <c r="AF5" s="2371"/>
      <c r="AG5" s="2371"/>
      <c r="AH5" s="2371"/>
      <c r="AI5" s="2371"/>
      <c r="AJ5" s="2372"/>
      <c r="AK5" s="1262" t="s">
        <v>622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544</v>
      </c>
      <c r="P6" s="2274"/>
      <c r="Q6" s="2274">
        <v>1</v>
      </c>
      <c r="R6" s="361"/>
      <c r="S6" s="1461">
        <f>$J6</f>
      </c>
      <c r="T6" s="290" t="s">
        <v>545</v>
      </c>
      <c r="U6" s="304"/>
      <c r="V6" s="2262"/>
      <c r="W6" s="2263"/>
      <c r="X6" s="2263"/>
      <c r="Y6" s="2263"/>
      <c r="Z6" s="2263"/>
      <c r="AA6" s="2263"/>
      <c r="AB6" s="2264"/>
      <c r="AC6" s="2262"/>
      <c r="AD6" s="2263"/>
      <c r="AE6" s="2263"/>
      <c r="AF6" s="2263"/>
      <c r="AG6" s="2263"/>
      <c r="AH6" s="2263"/>
      <c r="AI6" s="2263"/>
      <c r="AJ6" s="2264"/>
      <c r="AK6" s="1311" t="s">
        <v>623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371"/>
      <c r="X9" s="371"/>
      <c r="Y9" s="371"/>
      <c r="Z9" s="371"/>
      <c r="AA9" s="371"/>
      <c r="AB9" s="371"/>
      <c r="AC9" s="371"/>
      <c r="AD9" s="371"/>
      <c r="AE9" s="371"/>
      <c r="AF9" s="371"/>
      <c r="AG9" s="371"/>
      <c r="AH9" s="371"/>
      <c r="AI9" s="371"/>
      <c r="AJ9" s="371"/>
      <c r="AK9" s="1262" t="s">
        <v>625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550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555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556</v>
      </c>
      <c r="P20" s="1366"/>
      <c r="Q20" s="1446"/>
      <c r="R20" s="1446"/>
      <c r="S20" s="733"/>
      <c r="T20" s="1164" t="s">
        <v>557</v>
      </c>
      <c r="Z20" s="190" t="s">
        <v>558</v>
      </c>
      <c r="AB20" s="190" t="s">
        <v>559</v>
      </c>
      <c r="AC20" s="1164" t="s">
        <v>557</v>
      </c>
      <c r="AG20" s="190" t="s">
        <v>560</v>
      </c>
      <c r="AI20" s="190" t="s">
        <v>559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565</v>
      </c>
      <c r="AC34" s="330"/>
      <c r="AD34" s="330"/>
      <c r="AE34" s="330"/>
      <c r="AF34" s="330"/>
      <c r="AG34" s="330"/>
      <c r="AH34" s="330"/>
      <c r="AI34" s="282" t="s">
        <v>565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t="s">
        <v>439</v>
      </c>
      <c r="AQ36" s="1159">
        <v>14</v>
      </c>
    </row>
    <row customHeight="1" ht="14.699999999999998">
      <c r="Q37" s="380"/>
      <c r="R37" s="380"/>
      <c r="S37" s="2290" t="s">
        <v>87</v>
      </c>
      <c r="T37" s="2226" t="s">
        <v>566</v>
      </c>
      <c r="U37" s="305"/>
      <c r="V37" s="2291" t="s">
        <v>567</v>
      </c>
      <c r="W37" s="2292"/>
      <c r="X37" s="2292"/>
      <c r="Y37" s="2292"/>
      <c r="Z37" s="2292"/>
      <c r="AA37" s="2293"/>
      <c r="AB37" s="2294" t="s">
        <v>568</v>
      </c>
      <c r="AC37" s="2291" t="s">
        <v>567</v>
      </c>
      <c r="AD37" s="2292"/>
      <c r="AE37" s="2292"/>
      <c r="AF37" s="2292"/>
      <c r="AG37" s="2292"/>
      <c r="AH37" s="2293"/>
      <c r="AI37" s="2294" t="s">
        <v>569</v>
      </c>
      <c r="AJ37" s="2297" t="s">
        <v>570</v>
      </c>
      <c r="AK37" s="2144"/>
      <c r="AQ37" s="1159">
        <v>14</v>
      </c>
    </row>
    <row customHeight="1" ht="35.699999999999996">
      <c r="Q38" s="380"/>
      <c r="R38" s="380"/>
      <c r="S38" s="2290"/>
      <c r="T38" s="2226"/>
      <c r="U38" s="1035"/>
      <c r="V38" s="1456" t="s">
        <v>627</v>
      </c>
      <c r="W38" s="2279" t="s">
        <v>573</v>
      </c>
      <c r="X38" s="2280"/>
      <c r="Y38" s="2279" t="s">
        <v>574</v>
      </c>
      <c r="Z38" s="2286"/>
      <c r="AA38" s="2280"/>
      <c r="AB38" s="2295"/>
      <c r="AC38" s="1456" t="s">
        <v>627</v>
      </c>
      <c r="AD38" s="2279" t="s">
        <v>573</v>
      </c>
      <c r="AE38" s="2280"/>
      <c r="AF38" s="2279" t="s">
        <v>574</v>
      </c>
      <c r="AG38" s="2286"/>
      <c r="AH38" s="2280"/>
      <c r="AI38" s="2295"/>
      <c r="AJ38" s="2298"/>
      <c r="AK38" s="2144"/>
      <c r="AQ38" s="1159">
        <v>34</v>
      </c>
    </row>
    <row customHeight="1" ht="35.699999999999996">
      <c r="A39" s="1374"/>
      <c r="B39" s="1374" t="s">
        <v>279</v>
      </c>
      <c r="C39" s="1374" t="s">
        <v>280</v>
      </c>
      <c r="D39" s="1374" t="s">
        <v>281</v>
      </c>
      <c r="E39" s="1368" t="s">
        <v>575</v>
      </c>
      <c r="F39" s="1368" t="s">
        <v>576</v>
      </c>
      <c r="G39" s="1368" t="s">
        <v>577</v>
      </c>
      <c r="H39" s="1368"/>
      <c r="I39" s="1368" t="s">
        <v>628</v>
      </c>
      <c r="J39" s="1368" t="s">
        <v>580</v>
      </c>
      <c r="K39" s="1368" t="s">
        <v>629</v>
      </c>
      <c r="L39" s="1368" t="s">
        <v>556</v>
      </c>
      <c r="Q39" s="380"/>
      <c r="R39" s="380"/>
      <c r="S39" s="2290"/>
      <c r="T39" s="2226"/>
      <c r="U39" s="306"/>
      <c r="V39" s="1456" t="s">
        <v>630</v>
      </c>
      <c r="W39" s="1226" t="s">
        <v>631</v>
      </c>
      <c r="X39" s="1226" t="s">
        <v>632</v>
      </c>
      <c r="Y39" s="1459" t="s">
        <v>584</v>
      </c>
      <c r="Z39" s="2287" t="s">
        <v>585</v>
      </c>
      <c r="AA39" s="2288"/>
      <c r="AB39" s="2296"/>
      <c r="AC39" s="1456" t="s">
        <v>630</v>
      </c>
      <c r="AD39" s="1226" t="s">
        <v>631</v>
      </c>
      <c r="AE39" s="1226" t="s">
        <v>632</v>
      </c>
      <c r="AF39" s="1459" t="s">
        <v>584</v>
      </c>
      <c r="AG39" s="2287" t="s">
        <v>585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374</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267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374</v>
      </c>
      <c r="B42" s="1367" t="s">
        <v>375</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535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536</v>
      </c>
      <c r="AM42" s="504"/>
      <c r="AN42" s="504" t="str">
        <f>IF(T42="","",T42)</f>
        <v>Территория действия тарифа</v>
      </c>
      <c r="AO42" s="504"/>
      <c r="AP42" s="504"/>
      <c r="AQ42" s="1159">
        <v>23</v>
      </c>
    </row>
    <row customHeight="1" ht="24">
      <c r="A43" s="1367" t="s">
        <v>374</v>
      </c>
      <c r="B43" s="1367" t="s">
        <v>375</v>
      </c>
      <c r="C43" s="1367" t="s">
        <v>376</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619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620</v>
      </c>
      <c r="AM43" s="504"/>
      <c r="AN43" s="504" t="str">
        <f>IF(T43="","",T43)</f>
        <v>Наименование централизованной системы холодного водоснабжения</v>
      </c>
      <c r="AO43" s="504"/>
      <c r="AP43" s="504"/>
      <c r="AQ43" s="1159">
        <v>23</v>
      </c>
    </row>
    <row customHeight="1" ht="24">
      <c r="A44" s="1367" t="s">
        <v>374</v>
      </c>
      <c r="B44" s="1367" t="s">
        <v>375</v>
      </c>
      <c r="C44" s="1367" t="s">
        <v>376</v>
      </c>
      <c r="D44" s="1367" t="s">
        <v>635</v>
      </c>
      <c r="E44" s="2276"/>
      <c r="F44" s="2276"/>
      <c r="G44" s="2276"/>
      <c r="H44" s="2276"/>
      <c r="I44" s="2273" t="str">
        <f>S43&amp;".1"</f>
        <v>...1</v>
      </c>
      <c r="J44" s="1367"/>
      <c r="K44" s="1367"/>
      <c r="L44" s="1368"/>
      <c r="P44" s="2274">
        <v>1</v>
      </c>
      <c r="Q44" s="1454"/>
      <c r="R44" s="360"/>
      <c r="S44" s="1461" t="str">
        <f>$I44</f>
        <v>...1</v>
      </c>
      <c r="T44" s="289" t="s">
        <v>621</v>
      </c>
      <c r="U44" s="304"/>
      <c r="V44" s="2367"/>
      <c r="W44" s="2368"/>
      <c r="X44" s="2368"/>
      <c r="Y44" s="2368"/>
      <c r="Z44" s="2368"/>
      <c r="AA44" s="2368"/>
      <c r="AB44" s="2369"/>
      <c r="AC44" s="2370"/>
      <c r="AD44" s="2371"/>
      <c r="AE44" s="2371"/>
      <c r="AF44" s="2371"/>
      <c r="AG44" s="2371"/>
      <c r="AH44" s="2371"/>
      <c r="AI44" s="2371"/>
      <c r="AJ44" s="2372"/>
      <c r="AK44" s="1262" t="s">
        <v>622</v>
      </c>
      <c r="AM44" s="504"/>
      <c r="AN44" s="504" t="str">
        <f>IF(T44="","",T44)</f>
        <v>Наименование признака дифференциации</v>
      </c>
      <c r="AO44" s="504"/>
      <c r="AP44" s="504"/>
      <c r="AQ44" s="1159">
        <v>23</v>
      </c>
    </row>
    <row customHeight="1" ht="24">
      <c r="A45" s="1367" t="s">
        <v>374</v>
      </c>
      <c r="B45" s="1367" t="s">
        <v>375</v>
      </c>
      <c r="C45" s="1367" t="s">
        <v>376</v>
      </c>
      <c r="D45" s="1367" t="s">
        <v>635</v>
      </c>
      <c r="E45" s="2276"/>
      <c r="F45" s="2276"/>
      <c r="G45" s="2276"/>
      <c r="H45" s="2276"/>
      <c r="I45" s="2303"/>
      <c r="J45" s="2273" t="str">
        <f>I44&amp;".1"</f>
        <v>...1.1</v>
      </c>
      <c r="K45" s="1367"/>
      <c r="L45" s="1368" t="s">
        <v>544</v>
      </c>
      <c r="P45" s="2274"/>
      <c r="Q45" s="2274">
        <v>1</v>
      </c>
      <c r="R45" s="361"/>
      <c r="S45" s="1461" t="str">
        <f>$J45</f>
        <v>...1.1</v>
      </c>
      <c r="T45" s="290" t="s">
        <v>545</v>
      </c>
      <c r="U45" s="304"/>
      <c r="V45" s="2262"/>
      <c r="W45" s="2263"/>
      <c r="X45" s="2263"/>
      <c r="Y45" s="2263"/>
      <c r="Z45" s="2263"/>
      <c r="AA45" s="2263"/>
      <c r="AB45" s="2264"/>
      <c r="AC45" s="2262"/>
      <c r="AD45" s="2263"/>
      <c r="AE45" s="2263"/>
      <c r="AF45" s="2263"/>
      <c r="AG45" s="2263"/>
      <c r="AH45" s="2263"/>
      <c r="AI45" s="2263"/>
      <c r="AJ45" s="2264"/>
      <c r="AK45" s="1311" t="s">
        <v>623</v>
      </c>
      <c r="AM45" s="504"/>
      <c r="AN45" s="504" t="str">
        <f>IF(T45="","",T45)</f>
        <v>Группа потребителей</v>
      </c>
      <c r="AO45" s="504"/>
      <c r="AP45" s="504"/>
      <c r="AQ45" s="1159">
        <v>23</v>
      </c>
    </row>
    <row customHeight="1" ht="24">
      <c r="A46" s="1367" t="s">
        <v>374</v>
      </c>
      <c r="B46" s="1367" t="s">
        <v>375</v>
      </c>
      <c r="C46" s="1367" t="s">
        <v>376</v>
      </c>
      <c r="D46" s="1367" t="s">
        <v>635</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64</v>
      </c>
      <c r="AA46" s="2282"/>
      <c r="AB46" s="2124" t="s">
        <v>64</v>
      </c>
      <c r="AC46" s="755"/>
      <c r="AD46" s="755"/>
      <c r="AE46" s="1261"/>
      <c r="AF46" s="2282"/>
      <c r="AG46" s="2124" t="s">
        <v>64</v>
      </c>
      <c r="AH46" s="2304"/>
      <c r="AI46" s="2124" t="s">
        <v>64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374</v>
      </c>
      <c r="B47" s="1367" t="s">
        <v>375</v>
      </c>
      <c r="C47" s="1367" t="s">
        <v>376</v>
      </c>
      <c r="D47" s="1367" t="s">
        <v>635</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374</v>
      </c>
      <c r="B48" s="1367" t="s">
        <v>375</v>
      </c>
      <c r="C48" s="1367" t="s">
        <v>376</v>
      </c>
      <c r="D48" s="1367" t="s">
        <v>635</v>
      </c>
      <c r="E48" s="2276"/>
      <c r="F48" s="2276"/>
      <c r="G48" s="2276"/>
      <c r="H48" s="2276"/>
      <c r="I48" s="2303"/>
      <c r="J48" s="2273"/>
      <c r="K48" s="1367"/>
      <c r="L48" s="1368"/>
      <c r="P48" s="2274"/>
      <c r="Q48" s="2274"/>
      <c r="R48" s="360"/>
      <c r="S48" s="1282"/>
      <c r="T48" s="291" t="s">
        <v>624</v>
      </c>
      <c r="U48" s="371"/>
      <c r="V48" s="371"/>
      <c r="W48" s="371"/>
      <c r="X48" s="371"/>
      <c r="Y48" s="371"/>
      <c r="Z48" s="371"/>
      <c r="AA48" s="371"/>
      <c r="AB48" s="371"/>
      <c r="AC48" s="371"/>
      <c r="AD48" s="371"/>
      <c r="AE48" s="371"/>
      <c r="AF48" s="371"/>
      <c r="AG48" s="371"/>
      <c r="AH48" s="371"/>
      <c r="AI48" s="371"/>
      <c r="AJ48" s="371"/>
      <c r="AK48" s="1262" t="s">
        <v>625</v>
      </c>
      <c r="AM48" s="504"/>
      <c r="AN48" s="504" t="str">
        <f>IF(T48="","",T48)</f>
        <v>Добавить значение признака дифференциации</v>
      </c>
      <c r="AO48" s="504"/>
      <c r="AP48" s="504"/>
      <c r="AQ48" s="1159">
        <v>20</v>
      </c>
    </row>
    <row customHeight="1" ht="22.049999999999997">
      <c r="A49" s="1367" t="s">
        <v>374</v>
      </c>
      <c r="B49" s="1367" t="s">
        <v>375</v>
      </c>
      <c r="C49" s="1367" t="s">
        <v>376</v>
      </c>
      <c r="D49" s="1367" t="s">
        <v>635</v>
      </c>
      <c r="E49" s="2276"/>
      <c r="F49" s="2276"/>
      <c r="G49" s="2276"/>
      <c r="H49" s="2276"/>
      <c r="I49" s="2273"/>
      <c r="J49" s="1367"/>
      <c r="K49" s="1367"/>
      <c r="L49" s="1368"/>
      <c r="P49" s="2274"/>
      <c r="Q49" s="1454"/>
      <c r="R49" s="360"/>
      <c r="S49" s="1282"/>
      <c r="T49" s="369" t="s">
        <v>550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374</v>
      </c>
      <c r="B50" s="1367" t="s">
        <v>375</v>
      </c>
      <c r="C50" s="1367" t="s">
        <v>376</v>
      </c>
      <c r="D50" s="1367" t="s">
        <v>635</v>
      </c>
      <c r="E50" s="2276"/>
      <c r="F50" s="2276"/>
      <c r="G50" s="2276"/>
      <c r="H50" s="2275"/>
      <c r="I50" s="1367"/>
      <c r="J50" s="1367"/>
      <c r="K50" s="1367"/>
      <c r="L50" s="1368"/>
      <c r="M50" s="1369"/>
      <c r="N50" s="1369"/>
      <c r="O50" s="541"/>
      <c r="P50" s="364"/>
      <c r="Q50" s="379"/>
      <c r="R50" s="359"/>
      <c r="S50" s="1282"/>
      <c r="T50" s="376" t="s">
        <v>626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374</v>
      </c>
      <c r="B51" s="1347" t="s">
        <v>375</v>
      </c>
      <c r="C51" s="1318"/>
      <c r="D51" s="1318"/>
      <c r="E51" s="2276"/>
      <c r="F51" s="2275"/>
      <c r="G51" s="1318"/>
      <c r="H51" s="1318"/>
      <c r="I51" s="1318"/>
      <c r="J51" s="1318"/>
      <c r="K51" s="1318"/>
      <c r="L51" s="1462"/>
      <c r="M51" s="1325"/>
      <c r="N51" s="1325"/>
      <c r="P51" s="1320"/>
      <c r="Q51" s="1321"/>
      <c r="R51" s="1320"/>
      <c r="S51" s="1326"/>
      <c r="T51" s="1329" t="s">
        <v>553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374</v>
      </c>
      <c r="B52" s="1347"/>
      <c r="C52" s="1347"/>
      <c r="D52" s="1347"/>
      <c r="E52" s="2275"/>
      <c r="F52" s="1347"/>
      <c r="G52" s="1347"/>
      <c r="H52" s="1347"/>
      <c r="I52" s="1347"/>
      <c r="J52" s="1347"/>
      <c r="K52" s="1347"/>
      <c r="L52" s="1350"/>
      <c r="M52" s="1325"/>
      <c r="N52" s="1325"/>
      <c r="O52" s="522"/>
      <c r="P52" s="384"/>
      <c r="Q52" s="1348"/>
      <c r="R52" s="384"/>
      <c r="S52" s="1326"/>
      <c r="T52" s="1329" t="s">
        <v>554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586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74758-8FD5-6458-1BC1-F5D99C99FF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267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535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536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619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620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621</v>
      </c>
      <c r="U5" s="304"/>
      <c r="V5" s="2367"/>
      <c r="W5" s="2368"/>
      <c r="X5" s="2368"/>
      <c r="Y5" s="2368"/>
      <c r="Z5" s="2368"/>
      <c r="AA5" s="2368"/>
      <c r="AB5" s="2369"/>
      <c r="AC5" s="2370"/>
      <c r="AD5" s="2371"/>
      <c r="AE5" s="2371"/>
      <c r="AF5" s="2371"/>
      <c r="AG5" s="2371"/>
      <c r="AH5" s="2371"/>
      <c r="AI5" s="2371"/>
      <c r="AJ5" s="2372"/>
      <c r="AK5" s="1262" t="s">
        <v>622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544</v>
      </c>
      <c r="P6" s="2274"/>
      <c r="Q6" s="2274">
        <v>1</v>
      </c>
      <c r="R6" s="361"/>
      <c r="S6" s="1461">
        <f>$J6</f>
      </c>
      <c r="T6" s="290" t="s">
        <v>545</v>
      </c>
      <c r="U6" s="304"/>
      <c r="V6" s="2262"/>
      <c r="W6" s="2263"/>
      <c r="X6" s="2263"/>
      <c r="Y6" s="2263"/>
      <c r="Z6" s="2263"/>
      <c r="AA6" s="2263"/>
      <c r="AB6" s="2264"/>
      <c r="AC6" s="2262"/>
      <c r="AD6" s="2263"/>
      <c r="AE6" s="2263"/>
      <c r="AF6" s="2263"/>
      <c r="AG6" s="2263"/>
      <c r="AH6" s="2263"/>
      <c r="AI6" s="2263"/>
      <c r="AJ6" s="2264"/>
      <c r="AK6" s="1311" t="s">
        <v>623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371"/>
      <c r="X9" s="371"/>
      <c r="Y9" s="371"/>
      <c r="Z9" s="371"/>
      <c r="AA9" s="371"/>
      <c r="AB9" s="371"/>
      <c r="AC9" s="371"/>
      <c r="AD9" s="371"/>
      <c r="AE9" s="371"/>
      <c r="AF9" s="371"/>
      <c r="AG9" s="371"/>
      <c r="AH9" s="371"/>
      <c r="AI9" s="371"/>
      <c r="AJ9" s="371"/>
      <c r="AK9" s="1262" t="s">
        <v>625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550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555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556</v>
      </c>
      <c r="P20" s="1366"/>
      <c r="Q20" s="1446"/>
      <c r="R20" s="1446"/>
      <c r="S20" s="733"/>
      <c r="T20" s="1164" t="s">
        <v>557</v>
      </c>
      <c r="Z20" s="190" t="s">
        <v>558</v>
      </c>
      <c r="AB20" s="190" t="s">
        <v>559</v>
      </c>
      <c r="AC20" s="1164" t="s">
        <v>557</v>
      </c>
      <c r="AG20" s="190" t="s">
        <v>560</v>
      </c>
      <c r="AI20" s="190" t="s">
        <v>559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565</v>
      </c>
      <c r="AC34" s="330"/>
      <c r="AD34" s="330"/>
      <c r="AE34" s="330"/>
      <c r="AF34" s="330"/>
      <c r="AG34" s="330"/>
      <c r="AH34" s="330"/>
      <c r="AI34" s="282" t="s">
        <v>565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t="s">
        <v>439</v>
      </c>
      <c r="AQ36" s="1159">
        <v>14</v>
      </c>
    </row>
    <row customHeight="1" ht="14.699999999999998">
      <c r="Q37" s="380"/>
      <c r="R37" s="380"/>
      <c r="S37" s="2290" t="s">
        <v>87</v>
      </c>
      <c r="T37" s="2226" t="s">
        <v>566</v>
      </c>
      <c r="U37" s="305"/>
      <c r="V37" s="2291" t="s">
        <v>567</v>
      </c>
      <c r="W37" s="2292"/>
      <c r="X37" s="2292"/>
      <c r="Y37" s="2292"/>
      <c r="Z37" s="2292"/>
      <c r="AA37" s="2293"/>
      <c r="AB37" s="2294" t="s">
        <v>568</v>
      </c>
      <c r="AC37" s="2291" t="s">
        <v>567</v>
      </c>
      <c r="AD37" s="2292"/>
      <c r="AE37" s="2292"/>
      <c r="AF37" s="2292"/>
      <c r="AG37" s="2292"/>
      <c r="AH37" s="2293"/>
      <c r="AI37" s="2294" t="s">
        <v>569</v>
      </c>
      <c r="AJ37" s="2297" t="s">
        <v>570</v>
      </c>
      <c r="AK37" s="2144"/>
      <c r="AQ37" s="1159">
        <v>14</v>
      </c>
    </row>
    <row customHeight="1" ht="35.699999999999996">
      <c r="Q38" s="380"/>
      <c r="R38" s="380"/>
      <c r="S38" s="2290"/>
      <c r="T38" s="2226"/>
      <c r="U38" s="1035"/>
      <c r="V38" s="1456" t="s">
        <v>627</v>
      </c>
      <c r="W38" s="2279" t="s">
        <v>573</v>
      </c>
      <c r="X38" s="2280"/>
      <c r="Y38" s="2279" t="s">
        <v>574</v>
      </c>
      <c r="Z38" s="2286"/>
      <c r="AA38" s="2280"/>
      <c r="AB38" s="2295"/>
      <c r="AC38" s="1456" t="s">
        <v>627</v>
      </c>
      <c r="AD38" s="2279" t="s">
        <v>573</v>
      </c>
      <c r="AE38" s="2280"/>
      <c r="AF38" s="2279" t="s">
        <v>574</v>
      </c>
      <c r="AG38" s="2286"/>
      <c r="AH38" s="2280"/>
      <c r="AI38" s="2295"/>
      <c r="AJ38" s="2298"/>
      <c r="AK38" s="2144"/>
      <c r="AQ38" s="1159">
        <v>34</v>
      </c>
    </row>
    <row customHeight="1" ht="35.699999999999996">
      <c r="A39" s="1374"/>
      <c r="B39" s="1374" t="s">
        <v>279</v>
      </c>
      <c r="C39" s="1374" t="s">
        <v>280</v>
      </c>
      <c r="D39" s="1374" t="s">
        <v>281</v>
      </c>
      <c r="E39" s="1368" t="s">
        <v>575</v>
      </c>
      <c r="F39" s="1368" t="s">
        <v>576</v>
      </c>
      <c r="G39" s="1368" t="s">
        <v>577</v>
      </c>
      <c r="H39" s="1368"/>
      <c r="I39" s="1368" t="s">
        <v>628</v>
      </c>
      <c r="J39" s="1368" t="s">
        <v>580</v>
      </c>
      <c r="K39" s="1368" t="s">
        <v>629</v>
      </c>
      <c r="L39" s="1368" t="s">
        <v>556</v>
      </c>
      <c r="Q39" s="380"/>
      <c r="R39" s="380"/>
      <c r="S39" s="2290"/>
      <c r="T39" s="2226"/>
      <c r="U39" s="306"/>
      <c r="V39" s="1456" t="s">
        <v>630</v>
      </c>
      <c r="W39" s="1226" t="s">
        <v>631</v>
      </c>
      <c r="X39" s="1226" t="s">
        <v>632</v>
      </c>
      <c r="Y39" s="1459" t="s">
        <v>584</v>
      </c>
      <c r="Z39" s="2287" t="s">
        <v>585</v>
      </c>
      <c r="AA39" s="2288"/>
      <c r="AB39" s="2296"/>
      <c r="AC39" s="1456" t="s">
        <v>630</v>
      </c>
      <c r="AD39" s="1226" t="s">
        <v>631</v>
      </c>
      <c r="AE39" s="1226" t="s">
        <v>632</v>
      </c>
      <c r="AF39" s="1459" t="s">
        <v>584</v>
      </c>
      <c r="AG39" s="2287" t="s">
        <v>585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379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267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379</v>
      </c>
      <c r="B42" s="1367" t="s">
        <v>380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535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536</v>
      </c>
      <c r="AM42" s="504"/>
      <c r="AN42" s="504" t="str">
        <f>IF(T42="","",T42)</f>
        <v>Территория действия тарифа</v>
      </c>
      <c r="AO42" s="504"/>
      <c r="AP42" s="504"/>
      <c r="AQ42" s="1159">
        <v>23</v>
      </c>
    </row>
    <row customHeight="1" ht="24">
      <c r="A43" s="1367" t="s">
        <v>379</v>
      </c>
      <c r="B43" s="1367" t="s">
        <v>380</v>
      </c>
      <c r="C43" s="1367" t="s">
        <v>381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619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620</v>
      </c>
      <c r="AM43" s="504"/>
      <c r="AN43" s="504" t="str">
        <f>IF(T43="","",T43)</f>
        <v>Наименование централизованной системы холодного водоснабжения</v>
      </c>
      <c r="AO43" s="504"/>
      <c r="AP43" s="504"/>
      <c r="AQ43" s="1159">
        <v>23</v>
      </c>
    </row>
    <row customHeight="1" ht="24">
      <c r="A44" s="1367" t="s">
        <v>379</v>
      </c>
      <c r="B44" s="1367" t="s">
        <v>380</v>
      </c>
      <c r="C44" s="1367" t="s">
        <v>381</v>
      </c>
      <c r="D44" s="1367" t="s">
        <v>636</v>
      </c>
      <c r="E44" s="2276"/>
      <c r="F44" s="2276"/>
      <c r="G44" s="2276"/>
      <c r="H44" s="2276"/>
      <c r="I44" s="2273" t="str">
        <f>S43&amp;".1"</f>
        <v>...1</v>
      </c>
      <c r="J44" s="1367"/>
      <c r="K44" s="1367"/>
      <c r="L44" s="1368"/>
      <c r="P44" s="2274">
        <v>1</v>
      </c>
      <c r="Q44" s="1454"/>
      <c r="R44" s="360"/>
      <c r="S44" s="1461" t="str">
        <f>$I44</f>
        <v>...1</v>
      </c>
      <c r="T44" s="289" t="s">
        <v>621</v>
      </c>
      <c r="U44" s="304"/>
      <c r="V44" s="2367"/>
      <c r="W44" s="2368"/>
      <c r="X44" s="2368"/>
      <c r="Y44" s="2368"/>
      <c r="Z44" s="2368"/>
      <c r="AA44" s="2368"/>
      <c r="AB44" s="2369"/>
      <c r="AC44" s="2370"/>
      <c r="AD44" s="2371"/>
      <c r="AE44" s="2371"/>
      <c r="AF44" s="2371"/>
      <c r="AG44" s="2371"/>
      <c r="AH44" s="2371"/>
      <c r="AI44" s="2371"/>
      <c r="AJ44" s="2372"/>
      <c r="AK44" s="1262" t="s">
        <v>622</v>
      </c>
      <c r="AM44" s="504"/>
      <c r="AN44" s="504" t="str">
        <f>IF(T44="","",T44)</f>
        <v>Наименование признака дифференциации</v>
      </c>
      <c r="AO44" s="504"/>
      <c r="AP44" s="504"/>
      <c r="AQ44" s="1159">
        <v>23</v>
      </c>
    </row>
    <row customHeight="1" ht="24">
      <c r="A45" s="1367" t="s">
        <v>379</v>
      </c>
      <c r="B45" s="1367" t="s">
        <v>380</v>
      </c>
      <c r="C45" s="1367" t="s">
        <v>381</v>
      </c>
      <c r="D45" s="1367" t="s">
        <v>636</v>
      </c>
      <c r="E45" s="2276"/>
      <c r="F45" s="2276"/>
      <c r="G45" s="2276"/>
      <c r="H45" s="2276"/>
      <c r="I45" s="2303"/>
      <c r="J45" s="2273" t="str">
        <f>I44&amp;".1"</f>
        <v>...1.1</v>
      </c>
      <c r="K45" s="1367"/>
      <c r="L45" s="1368" t="s">
        <v>544</v>
      </c>
      <c r="P45" s="2274"/>
      <c r="Q45" s="2274">
        <v>1</v>
      </c>
      <c r="R45" s="361"/>
      <c r="S45" s="1461" t="str">
        <f>$J45</f>
        <v>...1.1</v>
      </c>
      <c r="T45" s="290" t="s">
        <v>545</v>
      </c>
      <c r="U45" s="304"/>
      <c r="V45" s="2262"/>
      <c r="W45" s="2263"/>
      <c r="X45" s="2263"/>
      <c r="Y45" s="2263"/>
      <c r="Z45" s="2263"/>
      <c r="AA45" s="2263"/>
      <c r="AB45" s="2264"/>
      <c r="AC45" s="2262"/>
      <c r="AD45" s="2263"/>
      <c r="AE45" s="2263"/>
      <c r="AF45" s="2263"/>
      <c r="AG45" s="2263"/>
      <c r="AH45" s="2263"/>
      <c r="AI45" s="2263"/>
      <c r="AJ45" s="2264"/>
      <c r="AK45" s="1311" t="s">
        <v>623</v>
      </c>
      <c r="AM45" s="504"/>
      <c r="AN45" s="504" t="str">
        <f>IF(T45="","",T45)</f>
        <v>Группа потребителей</v>
      </c>
      <c r="AO45" s="504"/>
      <c r="AP45" s="504"/>
      <c r="AQ45" s="1159">
        <v>23</v>
      </c>
    </row>
    <row customHeight="1" ht="24">
      <c r="A46" s="1367" t="s">
        <v>379</v>
      </c>
      <c r="B46" s="1367" t="s">
        <v>380</v>
      </c>
      <c r="C46" s="1367" t="s">
        <v>381</v>
      </c>
      <c r="D46" s="1367" t="s">
        <v>636</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64</v>
      </c>
      <c r="AA46" s="2282"/>
      <c r="AB46" s="2124" t="s">
        <v>64</v>
      </c>
      <c r="AC46" s="755"/>
      <c r="AD46" s="755"/>
      <c r="AE46" s="1261"/>
      <c r="AF46" s="2282"/>
      <c r="AG46" s="2124" t="s">
        <v>64</v>
      </c>
      <c r="AH46" s="2304"/>
      <c r="AI46" s="2124" t="s">
        <v>64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379</v>
      </c>
      <c r="B47" s="1367" t="s">
        <v>380</v>
      </c>
      <c r="C47" s="1367" t="s">
        <v>381</v>
      </c>
      <c r="D47" s="1367" t="s">
        <v>636</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379</v>
      </c>
      <c r="B48" s="1367" t="s">
        <v>380</v>
      </c>
      <c r="C48" s="1367" t="s">
        <v>381</v>
      </c>
      <c r="D48" s="1367" t="s">
        <v>636</v>
      </c>
      <c r="E48" s="2276"/>
      <c r="F48" s="2276"/>
      <c r="G48" s="2276"/>
      <c r="H48" s="2276"/>
      <c r="I48" s="2303"/>
      <c r="J48" s="2273"/>
      <c r="K48" s="1367"/>
      <c r="L48" s="1368"/>
      <c r="P48" s="2274"/>
      <c r="Q48" s="2274"/>
      <c r="R48" s="360"/>
      <c r="S48" s="1282"/>
      <c r="T48" s="291" t="s">
        <v>624</v>
      </c>
      <c r="U48" s="371"/>
      <c r="V48" s="371"/>
      <c r="W48" s="371"/>
      <c r="X48" s="371"/>
      <c r="Y48" s="371"/>
      <c r="Z48" s="371"/>
      <c r="AA48" s="371"/>
      <c r="AB48" s="371"/>
      <c r="AC48" s="371"/>
      <c r="AD48" s="371"/>
      <c r="AE48" s="371"/>
      <c r="AF48" s="371"/>
      <c r="AG48" s="371"/>
      <c r="AH48" s="371"/>
      <c r="AI48" s="371"/>
      <c r="AJ48" s="371"/>
      <c r="AK48" s="1262" t="s">
        <v>625</v>
      </c>
      <c r="AM48" s="504"/>
      <c r="AN48" s="504" t="str">
        <f>IF(T48="","",T48)</f>
        <v>Добавить значение признака дифференциации</v>
      </c>
      <c r="AO48" s="504"/>
      <c r="AP48" s="504"/>
      <c r="AQ48" s="1159">
        <v>20</v>
      </c>
    </row>
    <row customHeight="1" ht="22.049999999999997">
      <c r="A49" s="1367" t="s">
        <v>379</v>
      </c>
      <c r="B49" s="1367" t="s">
        <v>380</v>
      </c>
      <c r="C49" s="1367" t="s">
        <v>381</v>
      </c>
      <c r="D49" s="1367" t="s">
        <v>636</v>
      </c>
      <c r="E49" s="2276"/>
      <c r="F49" s="2276"/>
      <c r="G49" s="2276"/>
      <c r="H49" s="2276"/>
      <c r="I49" s="2273"/>
      <c r="J49" s="1367"/>
      <c r="K49" s="1367"/>
      <c r="L49" s="1368"/>
      <c r="P49" s="2274"/>
      <c r="Q49" s="1454"/>
      <c r="R49" s="360"/>
      <c r="S49" s="1282"/>
      <c r="T49" s="369" t="s">
        <v>550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379</v>
      </c>
      <c r="B50" s="1367" t="s">
        <v>380</v>
      </c>
      <c r="C50" s="1367" t="s">
        <v>381</v>
      </c>
      <c r="D50" s="1367" t="s">
        <v>636</v>
      </c>
      <c r="E50" s="2276"/>
      <c r="F50" s="2276"/>
      <c r="G50" s="2276"/>
      <c r="H50" s="2275"/>
      <c r="I50" s="1367"/>
      <c r="J50" s="1367"/>
      <c r="K50" s="1367"/>
      <c r="L50" s="1368"/>
      <c r="M50" s="1369"/>
      <c r="N50" s="1369"/>
      <c r="O50" s="541"/>
      <c r="P50" s="364"/>
      <c r="Q50" s="379"/>
      <c r="R50" s="359"/>
      <c r="S50" s="1282"/>
      <c r="T50" s="376" t="s">
        <v>626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379</v>
      </c>
      <c r="B51" s="1347" t="s">
        <v>380</v>
      </c>
      <c r="C51" s="1318"/>
      <c r="D51" s="1318"/>
      <c r="E51" s="2276"/>
      <c r="F51" s="2275"/>
      <c r="G51" s="1318"/>
      <c r="H51" s="1318"/>
      <c r="I51" s="1318"/>
      <c r="J51" s="1318"/>
      <c r="K51" s="1318"/>
      <c r="L51" s="1462"/>
      <c r="M51" s="1325"/>
      <c r="N51" s="1325"/>
      <c r="P51" s="1320"/>
      <c r="Q51" s="1321"/>
      <c r="R51" s="1320"/>
      <c r="S51" s="1326"/>
      <c r="T51" s="1329" t="s">
        <v>553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379</v>
      </c>
      <c r="B52" s="1347"/>
      <c r="C52" s="1347"/>
      <c r="D52" s="1347"/>
      <c r="E52" s="2275"/>
      <c r="F52" s="1347"/>
      <c r="G52" s="1347"/>
      <c r="H52" s="1347"/>
      <c r="I52" s="1347"/>
      <c r="J52" s="1347"/>
      <c r="K52" s="1347"/>
      <c r="L52" s="1350"/>
      <c r="M52" s="1325"/>
      <c r="N52" s="1325"/>
      <c r="O52" s="522"/>
      <c r="P52" s="384"/>
      <c r="Q52" s="1348"/>
      <c r="R52" s="384"/>
      <c r="S52" s="1326"/>
      <c r="T52" s="1329" t="s">
        <v>554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586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03E58-B676-B5B8-E578-CAF52E0B1A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267</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534</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535</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536</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537</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538</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539</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540</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541</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64</v>
      </c>
      <c r="Z8" s="1993"/>
      <c r="AA8" s="1991" t="s">
        <v>64</v>
      </c>
      <c r="AB8" s="1997"/>
      <c r="AC8" s="1998" t="s">
        <v>22</v>
      </c>
      <c r="AD8" s="755"/>
      <c r="AE8" s="1261"/>
      <c r="AF8" s="1956"/>
      <c r="AG8" s="1943" t="s">
        <v>64</v>
      </c>
      <c r="AH8" s="1956"/>
      <c r="AI8" s="1943" t="s">
        <v>64</v>
      </c>
      <c r="AJ8" s="1352"/>
      <c r="AK8" s="2270" t="s">
        <v>602</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606</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552</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553</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554</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64</v>
      </c>
      <c r="AH16" s="1739"/>
      <c r="AI16" s="1967" t="s">
        <v>64</v>
      </c>
      <c r="AQ16" s="1635">
        <v>0</v>
      </c>
    </row>
    <row customHeight="1" ht="14.25" hidden="1">
      <c r="AL17" s="1645"/>
      <c r="AM17" s="1645"/>
      <c r="AN17" s="1645"/>
      <c r="AO17" s="1645"/>
      <c r="AP17" s="1645"/>
      <c r="AQ17" s="1635">
        <v>0</v>
      </c>
    </row>
    <row customHeight="1" ht="14.25" hidden="1">
      <c r="O18" s="1349" t="s">
        <v>555</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556</v>
      </c>
      <c r="P20" s="1512"/>
      <c r="Q20" s="1514"/>
      <c r="R20" s="1514"/>
      <c r="Y20" s="1511" t="s">
        <v>558</v>
      </c>
      <c r="AA20" s="1511" t="s">
        <v>559</v>
      </c>
      <c r="AC20" s="1511" t="s">
        <v>608</v>
      </c>
      <c r="AG20" s="1511" t="s">
        <v>558</v>
      </c>
      <c r="AI20" s="1511" t="s">
        <v>559</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561</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562</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561</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562</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565</v>
      </c>
      <c r="AB34" s="1646"/>
      <c r="AC34" s="1639"/>
      <c r="AD34" s="1639"/>
      <c r="AE34" s="1639"/>
      <c r="AF34" s="1639"/>
      <c r="AG34" s="1639"/>
      <c r="AH34" s="1639"/>
      <c r="AI34" s="1646" t="s">
        <v>565</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438</v>
      </c>
      <c r="T36" s="2144"/>
      <c r="U36" s="2144"/>
      <c r="V36" s="2144"/>
      <c r="W36" s="2144"/>
      <c r="X36" s="2144"/>
      <c r="Y36" s="2144"/>
      <c r="Z36" s="2144"/>
      <c r="AA36" s="2192"/>
      <c r="AB36" s="2192"/>
      <c r="AC36" s="2192"/>
      <c r="AD36" s="2144"/>
      <c r="AE36" s="2144"/>
      <c r="AF36" s="2144"/>
      <c r="AG36" s="2144"/>
      <c r="AH36" s="2144"/>
      <c r="AI36" s="2144"/>
      <c r="AJ36" s="2144"/>
      <c r="AK36" s="2144" t="s">
        <v>439</v>
      </c>
      <c r="AQ36" s="1635">
        <v>14</v>
      </c>
    </row>
    <row customHeight="1" ht="14.699999999999998">
      <c r="Q37" s="295"/>
      <c r="R37" s="380"/>
      <c r="S37" s="2290" t="s">
        <v>87</v>
      </c>
      <c r="T37" s="2226" t="s">
        <v>637</v>
      </c>
      <c r="U37" s="341"/>
      <c r="V37" s="2292"/>
      <c r="W37" s="2292"/>
      <c r="X37" s="2292"/>
      <c r="Y37" s="2292"/>
      <c r="Z37" s="2292"/>
      <c r="AA37" s="2226" t="s">
        <v>568</v>
      </c>
      <c r="AB37" s="2225" t="s">
        <v>638</v>
      </c>
      <c r="AC37" s="2225" t="s">
        <v>612</v>
      </c>
      <c r="AD37" s="2308" t="s">
        <v>567</v>
      </c>
      <c r="AE37" s="2308"/>
      <c r="AF37" s="2292"/>
      <c r="AG37" s="2292"/>
      <c r="AH37" s="2293"/>
      <c r="AI37" s="2294" t="s">
        <v>568</v>
      </c>
      <c r="AJ37" s="2297" t="s">
        <v>570</v>
      </c>
      <c r="AK37" s="2144"/>
      <c r="AQ37" s="1635">
        <v>14</v>
      </c>
    </row>
    <row customHeight="1" ht="35.699999999999996">
      <c r="Q38" s="295"/>
      <c r="R38" s="380"/>
      <c r="S38" s="2290"/>
      <c r="T38" s="2226"/>
      <c r="U38" s="1035"/>
      <c r="V38" s="2120" t="s">
        <v>615</v>
      </c>
      <c r="W38" s="2144"/>
      <c r="X38" s="2311" t="s">
        <v>574</v>
      </c>
      <c r="Y38" s="2330"/>
      <c r="Z38" s="2330"/>
      <c r="AA38" s="2226"/>
      <c r="AB38" s="2225"/>
      <c r="AC38" s="2225"/>
      <c r="AD38" s="2120" t="s">
        <v>615</v>
      </c>
      <c r="AE38" s="2144"/>
      <c r="AF38" s="2330" t="s">
        <v>574</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279</v>
      </c>
      <c r="C40" s="1270" t="s">
        <v>280</v>
      </c>
      <c r="D40" s="1270" t="s">
        <v>281</v>
      </c>
      <c r="E40" s="1314" t="s">
        <v>575</v>
      </c>
      <c r="F40" s="1314" t="s">
        <v>576</v>
      </c>
      <c r="G40" s="1314" t="s">
        <v>577</v>
      </c>
      <c r="H40" s="1314" t="s">
        <v>578</v>
      </c>
      <c r="I40" s="1314" t="s">
        <v>579</v>
      </c>
      <c r="J40" s="1314" t="s">
        <v>580</v>
      </c>
      <c r="K40" s="1314" t="s">
        <v>581</v>
      </c>
      <c r="L40" s="1314" t="s">
        <v>556</v>
      </c>
      <c r="Q40" s="295"/>
      <c r="R40" s="380"/>
      <c r="S40" s="2290"/>
      <c r="T40" s="2226"/>
      <c r="U40" s="306"/>
      <c r="V40" s="1951" t="s">
        <v>616</v>
      </c>
      <c r="W40" s="1951" t="s">
        <v>617</v>
      </c>
      <c r="X40" s="1939" t="s">
        <v>584</v>
      </c>
      <c r="Y40" s="2287" t="s">
        <v>585</v>
      </c>
      <c r="Z40" s="2337"/>
      <c r="AA40" s="2226"/>
      <c r="AB40" s="2225"/>
      <c r="AC40" s="2225"/>
      <c r="AD40" s="1969" t="s">
        <v>616</v>
      </c>
      <c r="AE40" s="1960" t="s">
        <v>617</v>
      </c>
      <c r="AF40" s="1939" t="s">
        <v>584</v>
      </c>
      <c r="AG40" s="2287" t="s">
        <v>585</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105</v>
      </c>
      <c r="T41" s="1259" t="s">
        <v>102</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344</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267</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344</v>
      </c>
      <c r="B43" s="1271" t="s">
        <v>345</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535</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536</v>
      </c>
      <c r="AM43" s="1628"/>
      <c r="AN43" s="1628" t="str">
        <f>IF(T43="","",T43)</f>
        <v>Территория действия тарифа</v>
      </c>
      <c r="AO43" s="1628"/>
      <c r="AP43" s="1628"/>
      <c r="AQ43" s="1635">
        <v>21</v>
      </c>
    </row>
    <row customHeight="1" ht="24">
      <c r="A44" s="1271" t="s">
        <v>344</v>
      </c>
      <c r="B44" s="1271" t="s">
        <v>345</v>
      </c>
      <c r="C44" s="1271" t="s">
        <v>346</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537</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538</v>
      </c>
      <c r="AM44" s="1628"/>
      <c r="AN44" s="1628" t="str">
        <f>IF(T44="","",T44)</f>
        <v>Наименование системы теплоснабжения </v>
      </c>
      <c r="AO44" s="1628"/>
      <c r="AP44" s="1628"/>
      <c r="AQ44" s="1635">
        <v>23</v>
      </c>
    </row>
    <row customHeight="1" ht="22.049999999999997">
      <c r="A45" s="1271" t="s">
        <v>344</v>
      </c>
      <c r="B45" s="1271" t="s">
        <v>345</v>
      </c>
      <c r="C45" s="1271" t="s">
        <v>346</v>
      </c>
      <c r="D45" s="1271" t="s">
        <v>347</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539</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540</v>
      </c>
      <c r="AM45" s="1628"/>
      <c r="AN45" s="1628" t="str">
        <f>IF(T45="","",T45)</f>
        <v>Источник тепловой энергии  </v>
      </c>
      <c r="AO45" s="1628"/>
      <c r="AP45" s="1628"/>
      <c r="AQ45" s="1635">
        <v>21</v>
      </c>
    </row>
    <row s="1646" customFormat="1" customHeight="1" ht="0">
      <c r="A46" s="1379" t="s">
        <v>344</v>
      </c>
      <c r="B46" s="1379" t="s">
        <v>345</v>
      </c>
      <c r="C46" s="1379" t="s">
        <v>346</v>
      </c>
      <c r="D46" s="1379" t="s">
        <v>347</v>
      </c>
      <c r="E46" s="2307"/>
      <c r="F46" s="2307"/>
      <c r="G46" s="2307"/>
      <c r="H46" s="2307"/>
      <c r="I46" s="2144" t="str">
        <f>S45&amp;".1"</f>
        <v>....1</v>
      </c>
      <c r="J46" s="1379"/>
      <c r="K46" s="1379"/>
      <c r="L46" s="1385" t="s">
        <v>541</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344</v>
      </c>
      <c r="B47" s="1379" t="s">
        <v>345</v>
      </c>
      <c r="C47" s="1379" t="s">
        <v>346</v>
      </c>
      <c r="D47" s="1379" t="s">
        <v>347</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344</v>
      </c>
      <c r="B48" s="1271" t="s">
        <v>345</v>
      </c>
      <c r="C48" s="1271" t="s">
        <v>346</v>
      </c>
      <c r="D48" s="1271" t="s">
        <v>347</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64</v>
      </c>
      <c r="Z48" s="1956"/>
      <c r="AA48" s="1943" t="s">
        <v>64</v>
      </c>
      <c r="AB48" s="1965"/>
      <c r="AC48" s="1964" t="s">
        <v>22</v>
      </c>
      <c r="AD48" s="755"/>
      <c r="AE48" s="1261"/>
      <c r="AF48" s="1956"/>
      <c r="AG48" s="1943" t="s">
        <v>64</v>
      </c>
      <c r="AH48" s="1956"/>
      <c r="AI48" s="1943" t="s">
        <v>64</v>
      </c>
      <c r="AJ48" s="1352"/>
      <c r="AK48" s="2270" t="s">
        <v>618</v>
      </c>
      <c r="AL48" s="1640">
        <f>STRCHECKDATE(#REF!)</f>
      </c>
      <c r="AM48" s="1628"/>
      <c r="AN48" s="1628" t="str">
        <f>IF(T48="","",T48)</f>
        <v/>
      </c>
      <c r="AO48" s="1628"/>
      <c r="AP48" s="1628"/>
      <c r="AQ48" s="1635">
        <v>21</v>
      </c>
    </row>
    <row customHeight="1" ht="11.549999999999999">
      <c r="A49" s="1271" t="s">
        <v>344</v>
      </c>
      <c r="B49" s="1271" t="s">
        <v>345</v>
      </c>
      <c r="C49" s="1271" t="s">
        <v>346</v>
      </c>
      <c r="D49" s="1271" t="s">
        <v>347</v>
      </c>
      <c r="E49" s="2307"/>
      <c r="F49" s="2307"/>
      <c r="G49" s="2307"/>
      <c r="H49" s="2307"/>
      <c r="I49" s="2118"/>
      <c r="J49" s="2144"/>
      <c r="K49" s="1271"/>
      <c r="L49" s="1314"/>
      <c r="P49" s="2274"/>
      <c r="Q49" s="2274"/>
      <c r="R49" s="360"/>
      <c r="S49" s="1282"/>
      <c r="T49" s="291" t="s">
        <v>606</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344</v>
      </c>
      <c r="B50" s="1379" t="s">
        <v>345</v>
      </c>
      <c r="C50" s="1379" t="s">
        <v>346</v>
      </c>
      <c r="D50" s="1379" t="s">
        <v>347</v>
      </c>
      <c r="E50" s="2307"/>
      <c r="F50" s="2307"/>
      <c r="G50" s="2307"/>
      <c r="H50" s="2307"/>
      <c r="I50" s="2144"/>
      <c r="J50" s="1379"/>
      <c r="K50" s="1379"/>
      <c r="L50" s="1385"/>
      <c r="M50" s="1250"/>
      <c r="N50" s="1250"/>
      <c r="O50" s="1250"/>
      <c r="P50" s="2274"/>
      <c r="Q50" s="1955"/>
      <c r="R50" s="360"/>
      <c r="S50" s="1390"/>
      <c r="T50" s="1391" t="s">
        <v>550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344</v>
      </c>
      <c r="B51" s="1379" t="s">
        <v>345</v>
      </c>
      <c r="C51" s="1379" t="s">
        <v>346</v>
      </c>
      <c r="D51" s="1379" t="s">
        <v>347</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344</v>
      </c>
      <c r="B52" s="1379" t="s">
        <v>345</v>
      </c>
      <c r="C52" s="1379" t="s">
        <v>346</v>
      </c>
      <c r="D52" s="1378"/>
      <c r="E52" s="2307"/>
      <c r="F52" s="2307"/>
      <c r="G52" s="2306"/>
      <c r="H52" s="1378"/>
      <c r="I52" s="1378"/>
      <c r="J52" s="1378"/>
      <c r="K52" s="1378"/>
      <c r="L52" s="1381"/>
      <c r="M52" s="1382"/>
      <c r="N52" s="1382"/>
      <c r="O52" s="355"/>
      <c r="P52" s="1320"/>
      <c r="Q52" s="1321"/>
      <c r="R52" s="1320"/>
      <c r="S52" s="1326"/>
      <c r="T52" s="1329" t="s">
        <v>552</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344</v>
      </c>
      <c r="B53" s="1379" t="s">
        <v>345</v>
      </c>
      <c r="C53" s="1378"/>
      <c r="D53" s="1378"/>
      <c r="E53" s="2307"/>
      <c r="F53" s="2306"/>
      <c r="G53" s="1378"/>
      <c r="H53" s="1378"/>
      <c r="I53" s="1378"/>
      <c r="J53" s="1378"/>
      <c r="K53" s="1378"/>
      <c r="L53" s="1381"/>
      <c r="M53" s="1383"/>
      <c r="N53" s="1383"/>
      <c r="O53" s="355"/>
      <c r="P53" s="1320"/>
      <c r="Q53" s="1321"/>
      <c r="R53" s="1320"/>
      <c r="S53" s="1326"/>
      <c r="T53" s="1329" t="s">
        <v>553</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344</v>
      </c>
      <c r="B54" s="1379"/>
      <c r="C54" s="1379"/>
      <c r="D54" s="1379"/>
      <c r="E54" s="2307"/>
      <c r="F54" s="1379"/>
      <c r="G54" s="1379"/>
      <c r="H54" s="1379"/>
      <c r="I54" s="1379"/>
      <c r="J54" s="1379"/>
      <c r="K54" s="1379"/>
      <c r="L54" s="1385"/>
      <c r="M54" s="1383"/>
      <c r="N54" s="1383"/>
      <c r="O54" s="355"/>
      <c r="P54" s="384"/>
      <c r="Q54" s="1348"/>
      <c r="R54" s="384"/>
      <c r="S54" s="1326"/>
      <c r="T54" s="1329" t="s">
        <v>554</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344</v>
      </c>
      <c r="B55" s="1379"/>
      <c r="C55" s="1379"/>
      <c r="D55" s="1379"/>
      <c r="E55" s="2306"/>
      <c r="F55" s="1379"/>
      <c r="G55" s="1379"/>
      <c r="H55" s="1379"/>
      <c r="I55" s="1379"/>
      <c r="J55" s="1379"/>
      <c r="K55" s="1379"/>
      <c r="L55" s="1385"/>
      <c r="M55" s="1383"/>
      <c r="N55" s="1383"/>
      <c r="O55" s="355"/>
      <c r="P55" s="384"/>
      <c r="Q55" s="1348"/>
      <c r="R55" s="384"/>
      <c r="S55" s="1326"/>
      <c r="T55" s="1329" t="s">
        <v>554</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586</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C52A9-917D-FE49-FA68-256AE5849E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267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535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536</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619</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620</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540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541</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64</v>
      </c>
      <c r="AB8" s="1737"/>
      <c r="AC8" s="1463" t="s">
        <v>64</v>
      </c>
      <c r="AD8" s="2202" t="s">
        <v>64</v>
      </c>
      <c r="AE8" s="2343"/>
      <c r="AF8" s="2222">
        <v>1</v>
      </c>
      <c r="AG8" s="2380"/>
      <c r="AH8" s="2124" t="s">
        <v>64</v>
      </c>
      <c r="AI8" s="2343"/>
      <c r="AJ8" s="2222">
        <v>1</v>
      </c>
      <c r="AK8" s="2344" t="s">
        <v>22</v>
      </c>
      <c r="AL8" s="2124" t="s">
        <v>64</v>
      </c>
      <c r="AM8" s="2209"/>
      <c r="AN8" s="2222">
        <v>1</v>
      </c>
      <c r="AO8" s="2374"/>
      <c r="AP8" s="2375" t="s">
        <v>64</v>
      </c>
      <c r="AQ8" s="315"/>
      <c r="AR8" s="1467">
        <v>1</v>
      </c>
      <c r="AS8" s="1470" t="s">
        <v>22</v>
      </c>
      <c r="AT8" s="755"/>
      <c r="AU8" s="1261"/>
      <c r="AV8" s="755"/>
      <c r="AW8" s="1261"/>
      <c r="AX8" s="1737"/>
      <c r="AY8" s="1463" t="s">
        <v>64</v>
      </c>
      <c r="AZ8" s="1737"/>
      <c r="BA8" s="1463" t="s">
        <v>64</v>
      </c>
      <c r="BB8" s="1352"/>
      <c r="BC8" s="2270" t="s">
        <v>639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640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641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642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643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606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553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554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64</v>
      </c>
      <c r="AZ20" s="1739"/>
      <c r="BA20" s="1464" t="s">
        <v>64</v>
      </c>
      <c r="BI20" s="1159">
        <v>0</v>
      </c>
    </row>
    <row customHeight="1" ht="14.25" hidden="1">
      <c r="BD21" s="500"/>
      <c r="BE21" s="500"/>
      <c r="BF21" s="500"/>
      <c r="BG21" s="500"/>
      <c r="BH21" s="500"/>
      <c r="BI21" s="1159">
        <v>0</v>
      </c>
    </row>
    <row customHeight="1" ht="14.25" hidden="1">
      <c r="O22" s="1371" t="s">
        <v>555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556</v>
      </c>
      <c r="P24" s="1512"/>
      <c r="Q24" s="1514"/>
      <c r="R24" s="1514"/>
      <c r="AA24" s="1511" t="s">
        <v>558</v>
      </c>
      <c r="AC24" s="1511" t="s">
        <v>559</v>
      </c>
      <c r="AD24" s="1511" t="s">
        <v>607</v>
      </c>
      <c r="AH24" s="1511" t="s">
        <v>607</v>
      </c>
      <c r="AK24" s="1511" t="s">
        <v>644</v>
      </c>
      <c r="AL24" s="1511" t="s">
        <v>607</v>
      </c>
      <c r="AP24" s="1511" t="s">
        <v>607</v>
      </c>
      <c r="AY24" s="1511" t="s">
        <v>558</v>
      </c>
      <c r="BA24" s="1511" t="s">
        <v>559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КГУП "Примтеплоэнерго"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561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562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561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562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565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565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438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439</v>
      </c>
      <c r="BI40" s="1159">
        <v>14</v>
      </c>
    </row>
    <row customHeight="1" ht="14.699999999999998">
      <c r="Q41" s="295"/>
      <c r="R41" s="380"/>
      <c r="S41" s="2290" t="s">
        <v>87</v>
      </c>
      <c r="T41" s="2226" t="s">
        <v>645</v>
      </c>
      <c r="U41" s="305"/>
      <c r="V41" s="2291" t="s">
        <v>567</v>
      </c>
      <c r="W41" s="2292"/>
      <c r="X41" s="2292"/>
      <c r="Y41" s="2292"/>
      <c r="Z41" s="2292"/>
      <c r="AA41" s="2292"/>
      <c r="AB41" s="2293"/>
      <c r="AC41" s="2294" t="s">
        <v>568</v>
      </c>
      <c r="AD41" s="2345" t="s">
        <v>646</v>
      </c>
      <c r="AE41" s="2308"/>
      <c r="AF41" s="2308"/>
      <c r="AG41" s="2346"/>
      <c r="AH41" s="2345" t="s">
        <v>647</v>
      </c>
      <c r="AI41" s="2308"/>
      <c r="AJ41" s="2308"/>
      <c r="AK41" s="2346"/>
      <c r="AL41" s="2345" t="s">
        <v>648</v>
      </c>
      <c r="AM41" s="2308"/>
      <c r="AN41" s="2308"/>
      <c r="AO41" s="2346"/>
      <c r="AP41" s="2345" t="s">
        <v>649</v>
      </c>
      <c r="AQ41" s="2308"/>
      <c r="AR41" s="2308"/>
      <c r="AS41" s="2346"/>
      <c r="AT41" s="2291" t="s">
        <v>567</v>
      </c>
      <c r="AU41" s="2292"/>
      <c r="AV41" s="2292"/>
      <c r="AW41" s="2292"/>
      <c r="AX41" s="2292"/>
      <c r="AY41" s="2292"/>
      <c r="AZ41" s="2293"/>
      <c r="BA41" s="2294" t="s">
        <v>568</v>
      </c>
      <c r="BB41" s="2297" t="s">
        <v>570</v>
      </c>
      <c r="BC41" s="2144"/>
      <c r="BI41" s="1159">
        <v>14</v>
      </c>
    </row>
    <row customHeight="1" ht="35.699999999999996">
      <c r="Q42" s="295"/>
      <c r="R42" s="380"/>
      <c r="S42" s="2290"/>
      <c r="T42" s="2226"/>
      <c r="U42" s="1035"/>
      <c r="V42" s="2209" t="s">
        <v>650</v>
      </c>
      <c r="W42" s="2210"/>
      <c r="X42" s="2209" t="s">
        <v>651</v>
      </c>
      <c r="Y42" s="2210"/>
      <c r="Z42" s="2311" t="s">
        <v>652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650</v>
      </c>
      <c r="AU42" s="2210"/>
      <c r="AV42" s="2209" t="s">
        <v>651</v>
      </c>
      <c r="AW42" s="2210"/>
      <c r="AX42" s="2311" t="s">
        <v>652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279</v>
      </c>
      <c r="C44" s="1374" t="s">
        <v>280</v>
      </c>
      <c r="D44" s="1374" t="s">
        <v>281</v>
      </c>
      <c r="E44" s="1368" t="s">
        <v>575</v>
      </c>
      <c r="F44" s="1368" t="s">
        <v>576</v>
      </c>
      <c r="G44" s="1368" t="s">
        <v>577</v>
      </c>
      <c r="H44" s="1368" t="s">
        <v>578</v>
      </c>
      <c r="I44" s="1368" t="s">
        <v>579</v>
      </c>
      <c r="J44" s="1368" t="s">
        <v>580</v>
      </c>
      <c r="K44" s="1368" t="s">
        <v>581</v>
      </c>
      <c r="L44" s="1368" t="s">
        <v>556</v>
      </c>
      <c r="Q44" s="295"/>
      <c r="R44" s="380"/>
      <c r="S44" s="2290"/>
      <c r="T44" s="2226"/>
      <c r="U44" s="306"/>
      <c r="V44" s="1452" t="s">
        <v>616</v>
      </c>
      <c r="W44" s="1452" t="s">
        <v>617</v>
      </c>
      <c r="X44" s="1452" t="s">
        <v>616</v>
      </c>
      <c r="Y44" s="1452" t="s">
        <v>617</v>
      </c>
      <c r="Z44" s="1459" t="s">
        <v>584</v>
      </c>
      <c r="AA44" s="2287" t="s">
        <v>585</v>
      </c>
      <c r="AB44" s="2288"/>
      <c r="AC44" s="2296"/>
      <c r="AD44" s="2350"/>
      <c r="AE44" s="2351"/>
      <c r="AF44" s="2351"/>
      <c r="AG44" s="2352"/>
      <c r="AH44" s="2350"/>
      <c r="AI44" s="2351"/>
      <c r="AJ44" s="2351"/>
      <c r="AK44" s="2352"/>
      <c r="AL44" s="2350"/>
      <c r="AM44" s="2351"/>
      <c r="AN44" s="2351"/>
      <c r="AO44" s="2352"/>
      <c r="AP44" s="2350"/>
      <c r="AQ44" s="2351"/>
      <c r="AR44" s="2351"/>
      <c r="AS44" s="2352"/>
      <c r="AT44" s="1452" t="s">
        <v>616</v>
      </c>
      <c r="AU44" s="1452" t="s">
        <v>617</v>
      </c>
      <c r="AV44" s="1452" t="s">
        <v>616</v>
      </c>
      <c r="AW44" s="1452" t="s">
        <v>617</v>
      </c>
      <c r="AX44" s="1459" t="s">
        <v>584</v>
      </c>
      <c r="AY44" s="2287" t="s">
        <v>585</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105</v>
      </c>
      <c r="T45" s="1259" t="s">
        <v>102</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384</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267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384</v>
      </c>
      <c r="B47" s="1367" t="s">
        <v>385</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535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536</v>
      </c>
      <c r="BE47" s="504"/>
      <c r="BF47" s="504" t="str">
        <f>IF(T47="","",T47)</f>
        <v>Территория действия тарифа</v>
      </c>
      <c r="BG47" s="504"/>
      <c r="BH47" s="504"/>
      <c r="BI47" s="1159">
        <v>21</v>
      </c>
    </row>
    <row customHeight="1" ht="43.050000000000004">
      <c r="A48" s="1367" t="s">
        <v>384</v>
      </c>
      <c r="B48" s="1367" t="s">
        <v>385</v>
      </c>
      <c r="C48" s="1367" t="s">
        <v>386</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619</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620</v>
      </c>
      <c r="BE48" s="504"/>
      <c r="BF48" s="504" t="str">
        <f>IF(T48="","",T48)</f>
        <v>Наименование централизованной системы холодного водоснабжения</v>
      </c>
      <c r="BG48" s="504"/>
      <c r="BH48" s="504"/>
      <c r="BI48" s="1159">
        <v>41</v>
      </c>
    </row>
    <row s="1646" customFormat="1" customHeight="1" ht="0">
      <c r="A49" s="1347" t="s">
        <v>384</v>
      </c>
      <c r="B49" s="1347" t="s">
        <v>385</v>
      </c>
      <c r="C49" s="1347" t="s">
        <v>386</v>
      </c>
      <c r="D49" s="1347" t="s">
        <v>653</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540</v>
      </c>
      <c r="BE49" s="504"/>
      <c r="BF49" s="504" t="str">
        <f>IF(T49="","",T49)</f>
        <v/>
      </c>
      <c r="BG49" s="504"/>
      <c r="BH49" s="504"/>
      <c r="BI49" s="515">
        <v>0</v>
      </c>
    </row>
    <row s="1646" customFormat="1" customHeight="1" ht="0">
      <c r="A50" s="1347" t="s">
        <v>384</v>
      </c>
      <c r="B50" s="1347" t="s">
        <v>385</v>
      </c>
      <c r="C50" s="1347" t="s">
        <v>386</v>
      </c>
      <c r="D50" s="1347" t="s">
        <v>653</v>
      </c>
      <c r="E50" s="2276"/>
      <c r="F50" s="2276"/>
      <c r="G50" s="2276"/>
      <c r="H50" s="2276"/>
      <c r="I50" s="2273" t="str">
        <f>S49&amp;".1"</f>
        <v>.1</v>
      </c>
      <c r="J50" s="1347"/>
      <c r="K50" s="1347"/>
      <c r="L50" s="1350" t="s">
        <v>541</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384</v>
      </c>
      <c r="B51" s="1347" t="s">
        <v>385</v>
      </c>
      <c r="C51" s="1347" t="s">
        <v>386</v>
      </c>
      <c r="D51" s="1347" t="s">
        <v>653</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384</v>
      </c>
      <c r="B52" s="1367" t="s">
        <v>385</v>
      </c>
      <c r="C52" s="1367" t="s">
        <v>386</v>
      </c>
      <c r="D52" s="1367" t="s">
        <v>653</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64</v>
      </c>
      <c r="AB52" s="1737"/>
      <c r="AC52" s="1463" t="s">
        <v>64</v>
      </c>
      <c r="AD52" s="2202" t="s">
        <v>64</v>
      </c>
      <c r="AE52" s="2343"/>
      <c r="AF52" s="2222">
        <v>1</v>
      </c>
      <c r="AG52" s="2380"/>
      <c r="AH52" s="2124" t="s">
        <v>64</v>
      </c>
      <c r="AI52" s="2343"/>
      <c r="AJ52" s="2222">
        <v>1</v>
      </c>
      <c r="AK52" s="2344" t="s">
        <v>22</v>
      </c>
      <c r="AL52" s="2124" t="s">
        <v>64</v>
      </c>
      <c r="AM52" s="2209"/>
      <c r="AN52" s="2222">
        <v>1</v>
      </c>
      <c r="AO52" s="2374"/>
      <c r="AP52" s="2375" t="s">
        <v>64</v>
      </c>
      <c r="AQ52" s="315"/>
      <c r="AR52" s="1467">
        <v>1</v>
      </c>
      <c r="AS52" s="1470" t="s">
        <v>22</v>
      </c>
      <c r="AT52" s="755"/>
      <c r="AU52" s="1261"/>
      <c r="AV52" s="755"/>
      <c r="AW52" s="1261"/>
      <c r="AX52" s="1737"/>
      <c r="AY52" s="1463" t="s">
        <v>64</v>
      </c>
      <c r="AZ52" s="1737"/>
      <c r="BA52" s="1463" t="s">
        <v>64</v>
      </c>
      <c r="BB52" s="1352"/>
      <c r="BC52" s="2270" t="s">
        <v>639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640</v>
      </c>
      <c r="AT53" s="1397"/>
      <c r="AU53" s="1500"/>
      <c r="AV53" s="1397"/>
      <c r="AW53" s="1500"/>
      <c r="AX53" s="1397"/>
      <c r="AY53" s="1397"/>
      <c r="AZ53" s="1397"/>
      <c r="BA53" s="1397"/>
      <c r="BB53" s="1401"/>
      <c r="BC53" s="2271"/>
      <c r="BE53" s="504"/>
      <c r="BF53" s="504"/>
      <c r="BG53" s="504"/>
      <c r="BH53" s="504"/>
      <c r="BI53" s="1159">
        <v>11</v>
      </c>
    </row>
    <row customHeight="1" ht="11.549999999999999">
      <c r="A54" s="1367" t="s">
        <v>384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641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384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642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384</v>
      </c>
      <c r="B56" s="1367" t="s">
        <v>385</v>
      </c>
      <c r="C56" s="1367" t="s">
        <v>386</v>
      </c>
      <c r="D56" s="1367" t="s">
        <v>653</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643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384</v>
      </c>
      <c r="B57" s="1367" t="s">
        <v>385</v>
      </c>
      <c r="C57" s="1367" t="s">
        <v>386</v>
      </c>
      <c r="D57" s="1367" t="s">
        <v>653</v>
      </c>
      <c r="E57" s="2276"/>
      <c r="F57" s="2276"/>
      <c r="G57" s="2276"/>
      <c r="H57" s="2276"/>
      <c r="I57" s="2303"/>
      <c r="J57" s="2273"/>
      <c r="K57" s="1367"/>
      <c r="L57" s="1368"/>
      <c r="P57" s="2274"/>
      <c r="Q57" s="2274"/>
      <c r="R57" s="360"/>
      <c r="S57" s="1282"/>
      <c r="T57" s="291" t="s">
        <v>606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384</v>
      </c>
      <c r="B58" s="1347" t="s">
        <v>385</v>
      </c>
      <c r="C58" s="1347" t="s">
        <v>386</v>
      </c>
      <c r="D58" s="1347" t="s">
        <v>653</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384</v>
      </c>
      <c r="B59" s="1347" t="s">
        <v>385</v>
      </c>
      <c r="C59" s="1347" t="s">
        <v>386</v>
      </c>
      <c r="D59" s="1347" t="s">
        <v>653</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384</v>
      </c>
      <c r="B60" s="1347" t="s">
        <v>385</v>
      </c>
      <c r="C60" s="1347" t="s">
        <v>386</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384</v>
      </c>
      <c r="B61" s="1347" t="s">
        <v>385</v>
      </c>
      <c r="C61" s="1318"/>
      <c r="D61" s="1318"/>
      <c r="E61" s="2276"/>
      <c r="F61" s="2275"/>
      <c r="G61" s="1318"/>
      <c r="H61" s="1318"/>
      <c r="I61" s="1318"/>
      <c r="J61" s="1318"/>
      <c r="K61" s="1318"/>
      <c r="L61" s="1468"/>
      <c r="M61" s="1325"/>
      <c r="N61" s="1325"/>
      <c r="P61" s="1320"/>
      <c r="Q61" s="1321"/>
      <c r="R61" s="1320"/>
      <c r="S61" s="1326"/>
      <c r="T61" s="1329" t="s">
        <v>553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384</v>
      </c>
      <c r="B62" s="1347"/>
      <c r="C62" s="1347"/>
      <c r="D62" s="1347"/>
      <c r="E62" s="2275"/>
      <c r="F62" s="1347"/>
      <c r="G62" s="1347"/>
      <c r="H62" s="1347"/>
      <c r="I62" s="1347"/>
      <c r="J62" s="1347"/>
      <c r="K62" s="1347"/>
      <c r="L62" s="1350"/>
      <c r="M62" s="1325"/>
      <c r="N62" s="1325"/>
      <c r="O62" s="522"/>
      <c r="P62" s="384"/>
      <c r="Q62" s="1348"/>
      <c r="R62" s="384"/>
      <c r="S62" s="1326"/>
      <c r="T62" s="1329" t="s">
        <v>554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586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DA668-FFB8-0BE8-0BE8-58C411EC43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267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535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536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654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655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621</v>
      </c>
      <c r="U5" s="304"/>
      <c r="V5" s="2367"/>
      <c r="W5" s="2368"/>
      <c r="X5" s="2368"/>
      <c r="Y5" s="2368"/>
      <c r="Z5" s="2368"/>
      <c r="AA5" s="2368"/>
      <c r="AB5" s="2369"/>
      <c r="AC5" s="2370"/>
      <c r="AD5" s="2371"/>
      <c r="AE5" s="2371"/>
      <c r="AF5" s="2371"/>
      <c r="AG5" s="2371"/>
      <c r="AH5" s="2371"/>
      <c r="AI5" s="2371"/>
      <c r="AJ5" s="2372"/>
      <c r="AK5" s="1262" t="s">
        <v>622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544</v>
      </c>
      <c r="P6" s="2274"/>
      <c r="Q6" s="2274">
        <v>1</v>
      </c>
      <c r="R6" s="361"/>
      <c r="S6" s="1497">
        <f>$J6</f>
      </c>
      <c r="T6" s="290" t="s">
        <v>545</v>
      </c>
      <c r="U6" s="304"/>
      <c r="V6" s="2262"/>
      <c r="W6" s="2263"/>
      <c r="X6" s="2263"/>
      <c r="Y6" s="2263"/>
      <c r="Z6" s="2263"/>
      <c r="AA6" s="2263"/>
      <c r="AB6" s="2264"/>
      <c r="AC6" s="2262"/>
      <c r="AD6" s="2263"/>
      <c r="AE6" s="2263"/>
      <c r="AF6" s="2263"/>
      <c r="AG6" s="2263"/>
      <c r="AH6" s="2263"/>
      <c r="AI6" s="2263"/>
      <c r="AJ6" s="2264"/>
      <c r="AK6" s="1311" t="s">
        <v>623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371"/>
      <c r="X9" s="371"/>
      <c r="Y9" s="371"/>
      <c r="Z9" s="371"/>
      <c r="AA9" s="371"/>
      <c r="AB9" s="371"/>
      <c r="AC9" s="371"/>
      <c r="AD9" s="371"/>
      <c r="AE9" s="371"/>
      <c r="AF9" s="371"/>
      <c r="AG9" s="371"/>
      <c r="AH9" s="371"/>
      <c r="AI9" s="371"/>
      <c r="AJ9" s="371"/>
      <c r="AK9" s="1262" t="s">
        <v>625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550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555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556</v>
      </c>
      <c r="P20" s="1366"/>
      <c r="Q20" s="1446"/>
      <c r="R20" s="1446"/>
      <c r="S20" s="733"/>
      <c r="T20" s="1164" t="s">
        <v>557</v>
      </c>
      <c r="Z20" s="190" t="s">
        <v>558</v>
      </c>
      <c r="AB20" s="190" t="s">
        <v>559</v>
      </c>
      <c r="AC20" s="1164" t="s">
        <v>557</v>
      </c>
      <c r="AG20" s="190" t="s">
        <v>560</v>
      </c>
      <c r="AI20" s="190" t="s">
        <v>559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565</v>
      </c>
      <c r="AC34" s="330"/>
      <c r="AD34" s="330"/>
      <c r="AE34" s="330"/>
      <c r="AF34" s="330"/>
      <c r="AG34" s="330"/>
      <c r="AH34" s="330"/>
      <c r="AI34" s="282" t="s">
        <v>565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t="s">
        <v>439</v>
      </c>
      <c r="AQ36" s="1159">
        <v>14</v>
      </c>
    </row>
    <row customHeight="1" ht="14.699999999999998">
      <c r="Q37" s="380"/>
      <c r="R37" s="380"/>
      <c r="S37" s="2290" t="s">
        <v>87</v>
      </c>
      <c r="T37" s="2226" t="s">
        <v>566</v>
      </c>
      <c r="U37" s="305"/>
      <c r="V37" s="2291" t="s">
        <v>567</v>
      </c>
      <c r="W37" s="2292"/>
      <c r="X37" s="2292"/>
      <c r="Y37" s="2292"/>
      <c r="Z37" s="2292"/>
      <c r="AA37" s="2293"/>
      <c r="AB37" s="2294" t="s">
        <v>568</v>
      </c>
      <c r="AC37" s="2291" t="s">
        <v>567</v>
      </c>
      <c r="AD37" s="2292"/>
      <c r="AE37" s="2292"/>
      <c r="AF37" s="2292"/>
      <c r="AG37" s="2292"/>
      <c r="AH37" s="2293"/>
      <c r="AI37" s="2294" t="s">
        <v>569</v>
      </c>
      <c r="AJ37" s="2297" t="s">
        <v>570</v>
      </c>
      <c r="AK37" s="2144"/>
      <c r="AQ37" s="1159">
        <v>14</v>
      </c>
    </row>
    <row customHeight="1" ht="35.699999999999996">
      <c r="Q38" s="380"/>
      <c r="R38" s="380"/>
      <c r="S38" s="2290"/>
      <c r="T38" s="2226"/>
      <c r="U38" s="1035"/>
      <c r="V38" s="1487" t="s">
        <v>627</v>
      </c>
      <c r="W38" s="2279" t="s">
        <v>573</v>
      </c>
      <c r="X38" s="2280"/>
      <c r="Y38" s="2279" t="s">
        <v>574</v>
      </c>
      <c r="Z38" s="2286"/>
      <c r="AA38" s="2280"/>
      <c r="AB38" s="2295"/>
      <c r="AC38" s="1487" t="s">
        <v>627</v>
      </c>
      <c r="AD38" s="2279" t="s">
        <v>573</v>
      </c>
      <c r="AE38" s="2280"/>
      <c r="AF38" s="2279" t="s">
        <v>574</v>
      </c>
      <c r="AG38" s="2286"/>
      <c r="AH38" s="2280"/>
      <c r="AI38" s="2295"/>
      <c r="AJ38" s="2298"/>
      <c r="AK38" s="2144"/>
      <c r="AQ38" s="1159">
        <v>34</v>
      </c>
    </row>
    <row customHeight="1" ht="90.3">
      <c r="A39" s="1374"/>
      <c r="B39" s="1374" t="s">
        <v>279</v>
      </c>
      <c r="C39" s="1374" t="s">
        <v>280</v>
      </c>
      <c r="D39" s="1374" t="s">
        <v>281</v>
      </c>
      <c r="E39" s="1368" t="s">
        <v>575</v>
      </c>
      <c r="F39" s="1368" t="s">
        <v>576</v>
      </c>
      <c r="G39" s="1368" t="s">
        <v>577</v>
      </c>
      <c r="H39" s="1368"/>
      <c r="I39" s="1368" t="s">
        <v>628</v>
      </c>
      <c r="J39" s="1368" t="s">
        <v>580</v>
      </c>
      <c r="K39" s="1368" t="s">
        <v>629</v>
      </c>
      <c r="L39" s="1368" t="s">
        <v>556</v>
      </c>
      <c r="Q39" s="380"/>
      <c r="R39" s="380"/>
      <c r="S39" s="2290"/>
      <c r="T39" s="2226"/>
      <c r="U39" s="306"/>
      <c r="V39" s="1487" t="s">
        <v>656</v>
      </c>
      <c r="W39" s="1226" t="s">
        <v>657</v>
      </c>
      <c r="X39" s="1226" t="s">
        <v>632</v>
      </c>
      <c r="Y39" s="1493" t="s">
        <v>584</v>
      </c>
      <c r="Z39" s="2287" t="s">
        <v>585</v>
      </c>
      <c r="AA39" s="2288"/>
      <c r="AB39" s="2296"/>
      <c r="AC39" s="1487" t="s">
        <v>656</v>
      </c>
      <c r="AD39" s="1226" t="s">
        <v>657</v>
      </c>
      <c r="AE39" s="1226" t="s">
        <v>632</v>
      </c>
      <c r="AF39" s="1493" t="s">
        <v>584</v>
      </c>
      <c r="AG39" s="2287" t="s">
        <v>585</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102</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404</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267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404</v>
      </c>
      <c r="B42" s="1367" t="s">
        <v>405</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535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536</v>
      </c>
      <c r="AM42" s="504"/>
      <c r="AN42" s="504" t="str">
        <f>IF(T42="","",T42)</f>
        <v>Территория действия тарифа</v>
      </c>
      <c r="AO42" s="504"/>
      <c r="AP42" s="504"/>
      <c r="AQ42" s="1159">
        <v>23</v>
      </c>
    </row>
    <row customHeight="1" ht="24">
      <c r="A43" s="1367" t="s">
        <v>404</v>
      </c>
      <c r="B43" s="1367" t="s">
        <v>405</v>
      </c>
      <c r="C43" s="1367" t="s">
        <v>406</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654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655</v>
      </c>
      <c r="AM43" s="504"/>
      <c r="AN43" s="504" t="str">
        <f>IF(T43="","",T43)</f>
        <v>Наименование централизованной системы водоотведения</v>
      </c>
      <c r="AO43" s="504"/>
      <c r="AP43" s="504"/>
      <c r="AQ43" s="1159">
        <v>23</v>
      </c>
    </row>
    <row customHeight="1" ht="24">
      <c r="A44" s="1367" t="s">
        <v>404</v>
      </c>
      <c r="B44" s="1367" t="s">
        <v>405</v>
      </c>
      <c r="C44" s="1367" t="s">
        <v>406</v>
      </c>
      <c r="D44" s="1367" t="s">
        <v>658</v>
      </c>
      <c r="E44" s="2276"/>
      <c r="F44" s="2276"/>
      <c r="G44" s="2276"/>
      <c r="H44" s="2276"/>
      <c r="I44" s="2273" t="str">
        <f>S43&amp;".1"</f>
        <v>...1</v>
      </c>
      <c r="J44" s="1367"/>
      <c r="K44" s="1367"/>
      <c r="L44" s="1368"/>
      <c r="P44" s="2274">
        <v>1</v>
      </c>
      <c r="Q44" s="1485"/>
      <c r="R44" s="360"/>
      <c r="S44" s="1497" t="str">
        <f>$I44</f>
        <v>...1</v>
      </c>
      <c r="T44" s="289" t="s">
        <v>621</v>
      </c>
      <c r="U44" s="304"/>
      <c r="V44" s="2367"/>
      <c r="W44" s="2368"/>
      <c r="X44" s="2368"/>
      <c r="Y44" s="2368"/>
      <c r="Z44" s="2368"/>
      <c r="AA44" s="2368"/>
      <c r="AB44" s="2369"/>
      <c r="AC44" s="2370"/>
      <c r="AD44" s="2371"/>
      <c r="AE44" s="2371"/>
      <c r="AF44" s="2371"/>
      <c r="AG44" s="2371"/>
      <c r="AH44" s="2371"/>
      <c r="AI44" s="2371"/>
      <c r="AJ44" s="2372"/>
      <c r="AK44" s="1262" t="s">
        <v>622</v>
      </c>
      <c r="AM44" s="504"/>
      <c r="AN44" s="504" t="str">
        <f>IF(T44="","",T44)</f>
        <v>Наименование признака дифференциации</v>
      </c>
      <c r="AO44" s="504"/>
      <c r="AP44" s="504"/>
      <c r="AQ44" s="1159">
        <v>23</v>
      </c>
    </row>
    <row customHeight="1" ht="24">
      <c r="A45" s="1367" t="s">
        <v>404</v>
      </c>
      <c r="B45" s="1367" t="s">
        <v>405</v>
      </c>
      <c r="C45" s="1367" t="s">
        <v>406</v>
      </c>
      <c r="D45" s="1367" t="s">
        <v>658</v>
      </c>
      <c r="E45" s="2276"/>
      <c r="F45" s="2276"/>
      <c r="G45" s="2276"/>
      <c r="H45" s="2276"/>
      <c r="I45" s="2303"/>
      <c r="J45" s="2273" t="str">
        <f>I44&amp;".1"</f>
        <v>...1.1</v>
      </c>
      <c r="K45" s="1367"/>
      <c r="L45" s="1368" t="s">
        <v>544</v>
      </c>
      <c r="P45" s="2274"/>
      <c r="Q45" s="2274">
        <v>1</v>
      </c>
      <c r="R45" s="361"/>
      <c r="S45" s="1497" t="str">
        <f>$J45</f>
        <v>...1.1</v>
      </c>
      <c r="T45" s="290" t="s">
        <v>545</v>
      </c>
      <c r="U45" s="304"/>
      <c r="V45" s="2262"/>
      <c r="W45" s="2263"/>
      <c r="X45" s="2263"/>
      <c r="Y45" s="2263"/>
      <c r="Z45" s="2263"/>
      <c r="AA45" s="2263"/>
      <c r="AB45" s="2264"/>
      <c r="AC45" s="2262"/>
      <c r="AD45" s="2263"/>
      <c r="AE45" s="2263"/>
      <c r="AF45" s="2263"/>
      <c r="AG45" s="2263"/>
      <c r="AH45" s="2263"/>
      <c r="AI45" s="2263"/>
      <c r="AJ45" s="2264"/>
      <c r="AK45" s="1311" t="s">
        <v>623</v>
      </c>
      <c r="AM45" s="504"/>
      <c r="AN45" s="504" t="str">
        <f>IF(T45="","",T45)</f>
        <v>Группа потребителей</v>
      </c>
      <c r="AO45" s="504"/>
      <c r="AP45" s="504"/>
      <c r="AQ45" s="1159">
        <v>23</v>
      </c>
    </row>
    <row customHeight="1" ht="24">
      <c r="A46" s="1367" t="s">
        <v>404</v>
      </c>
      <c r="B46" s="1367" t="s">
        <v>405</v>
      </c>
      <c r="C46" s="1367" t="s">
        <v>406</v>
      </c>
      <c r="D46" s="1367" t="s">
        <v>658</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64</v>
      </c>
      <c r="AA46" s="2284"/>
      <c r="AB46" s="2285" t="s">
        <v>64</v>
      </c>
      <c r="AC46" s="755"/>
      <c r="AD46" s="755"/>
      <c r="AE46" s="1261"/>
      <c r="AF46" s="2282"/>
      <c r="AG46" s="2124" t="s">
        <v>64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404</v>
      </c>
      <c r="B47" s="1367" t="s">
        <v>405</v>
      </c>
      <c r="C47" s="1367" t="s">
        <v>406</v>
      </c>
      <c r="D47" s="1367" t="s">
        <v>658</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404</v>
      </c>
      <c r="B48" s="1367" t="s">
        <v>405</v>
      </c>
      <c r="C48" s="1367" t="s">
        <v>406</v>
      </c>
      <c r="D48" s="1367" t="s">
        <v>658</v>
      </c>
      <c r="E48" s="2276"/>
      <c r="F48" s="2276"/>
      <c r="G48" s="2276"/>
      <c r="H48" s="2276"/>
      <c r="I48" s="2303"/>
      <c r="J48" s="2273"/>
      <c r="K48" s="1367"/>
      <c r="L48" s="1368"/>
      <c r="P48" s="2274"/>
      <c r="Q48" s="2274"/>
      <c r="R48" s="360"/>
      <c r="S48" s="1282"/>
      <c r="T48" s="291" t="s">
        <v>624</v>
      </c>
      <c r="U48" s="371"/>
      <c r="V48" s="371"/>
      <c r="W48" s="371"/>
      <c r="X48" s="371"/>
      <c r="Y48" s="371"/>
      <c r="Z48" s="371"/>
      <c r="AA48" s="371"/>
      <c r="AB48" s="371"/>
      <c r="AC48" s="371"/>
      <c r="AD48" s="371"/>
      <c r="AE48" s="371"/>
      <c r="AF48" s="371"/>
      <c r="AG48" s="371"/>
      <c r="AH48" s="371"/>
      <c r="AI48" s="371"/>
      <c r="AJ48" s="371"/>
      <c r="AK48" s="1262" t="s">
        <v>625</v>
      </c>
      <c r="AM48" s="504"/>
      <c r="AN48" s="504" t="str">
        <f>IF(T48="","",T48)</f>
        <v>Добавить значение признака дифференциации</v>
      </c>
      <c r="AO48" s="504"/>
      <c r="AP48" s="504"/>
      <c r="AQ48" s="1159">
        <v>20</v>
      </c>
    </row>
    <row customHeight="1" ht="22.049999999999997">
      <c r="A49" s="1367" t="s">
        <v>404</v>
      </c>
      <c r="B49" s="1367" t="s">
        <v>405</v>
      </c>
      <c r="C49" s="1367" t="s">
        <v>406</v>
      </c>
      <c r="D49" s="1367" t="s">
        <v>658</v>
      </c>
      <c r="E49" s="2276"/>
      <c r="F49" s="2276"/>
      <c r="G49" s="2276"/>
      <c r="H49" s="2276"/>
      <c r="I49" s="2273"/>
      <c r="J49" s="1367"/>
      <c r="K49" s="1367"/>
      <c r="L49" s="1368"/>
      <c r="P49" s="2274"/>
      <c r="Q49" s="1485"/>
      <c r="R49" s="360"/>
      <c r="S49" s="1282"/>
      <c r="T49" s="369" t="s">
        <v>550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404</v>
      </c>
      <c r="B50" s="1367" t="s">
        <v>405</v>
      </c>
      <c r="C50" s="1367" t="s">
        <v>406</v>
      </c>
      <c r="D50" s="1367" t="s">
        <v>658</v>
      </c>
      <c r="E50" s="2276"/>
      <c r="F50" s="2276"/>
      <c r="G50" s="2276"/>
      <c r="H50" s="2275"/>
      <c r="I50" s="1367"/>
      <c r="J50" s="1367"/>
      <c r="K50" s="1367"/>
      <c r="L50" s="1368"/>
      <c r="M50" s="1369"/>
      <c r="N50" s="1369"/>
      <c r="O50" s="541"/>
      <c r="P50" s="364"/>
      <c r="Q50" s="379"/>
      <c r="R50" s="359"/>
      <c r="S50" s="1282"/>
      <c r="T50" s="376" t="s">
        <v>626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404</v>
      </c>
      <c r="B51" s="1347" t="s">
        <v>405</v>
      </c>
      <c r="C51" s="1318"/>
      <c r="D51" s="1318"/>
      <c r="E51" s="2276"/>
      <c r="F51" s="2275"/>
      <c r="G51" s="1318"/>
      <c r="H51" s="1318"/>
      <c r="I51" s="1318"/>
      <c r="J51" s="1318"/>
      <c r="K51" s="1318"/>
      <c r="L51" s="1498"/>
      <c r="M51" s="1325"/>
      <c r="N51" s="1325"/>
      <c r="P51" s="1320"/>
      <c r="Q51" s="1321"/>
      <c r="R51" s="1320"/>
      <c r="S51" s="1326"/>
      <c r="T51" s="1329" t="s">
        <v>553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404</v>
      </c>
      <c r="B52" s="1347"/>
      <c r="C52" s="1347"/>
      <c r="D52" s="1347"/>
      <c r="E52" s="2275"/>
      <c r="F52" s="1347"/>
      <c r="G52" s="1347"/>
      <c r="H52" s="1347"/>
      <c r="I52" s="1347"/>
      <c r="J52" s="1347"/>
      <c r="K52" s="1347"/>
      <c r="L52" s="1350"/>
      <c r="M52" s="1325"/>
      <c r="N52" s="1325"/>
      <c r="O52" s="522"/>
      <c r="P52" s="384"/>
      <c r="Q52" s="1348"/>
      <c r="R52" s="384"/>
      <c r="S52" s="1326"/>
      <c r="T52" s="1329" t="s">
        <v>554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586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68D18-E5AB-E958-EEF8-5F71651501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267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535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536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654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655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621</v>
      </c>
      <c r="U5" s="304"/>
      <c r="V5" s="2367"/>
      <c r="W5" s="2368"/>
      <c r="X5" s="2368"/>
      <c r="Y5" s="2368"/>
      <c r="Z5" s="2368"/>
      <c r="AA5" s="2368"/>
      <c r="AB5" s="2369"/>
      <c r="AC5" s="2370"/>
      <c r="AD5" s="2371"/>
      <c r="AE5" s="2371"/>
      <c r="AF5" s="2371"/>
      <c r="AG5" s="2371"/>
      <c r="AH5" s="2371"/>
      <c r="AI5" s="2371"/>
      <c r="AJ5" s="2372"/>
      <c r="AK5" s="1262" t="s">
        <v>622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544</v>
      </c>
      <c r="P6" s="2274"/>
      <c r="Q6" s="2274">
        <v>1</v>
      </c>
      <c r="R6" s="361"/>
      <c r="S6" s="1497">
        <f>$J6</f>
      </c>
      <c r="T6" s="290" t="s">
        <v>545</v>
      </c>
      <c r="U6" s="304"/>
      <c r="V6" s="2262"/>
      <c r="W6" s="2263"/>
      <c r="X6" s="2263"/>
      <c r="Y6" s="2263"/>
      <c r="Z6" s="2263"/>
      <c r="AA6" s="2263"/>
      <c r="AB6" s="2264"/>
      <c r="AC6" s="2262"/>
      <c r="AD6" s="2263"/>
      <c r="AE6" s="2263"/>
      <c r="AF6" s="2263"/>
      <c r="AG6" s="2263"/>
      <c r="AH6" s="2263"/>
      <c r="AI6" s="2263"/>
      <c r="AJ6" s="2264"/>
      <c r="AK6" s="1311" t="s">
        <v>623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64</v>
      </c>
      <c r="AA7" s="2282"/>
      <c r="AB7" s="2124" t="s">
        <v>64</v>
      </c>
      <c r="AC7" s="755"/>
      <c r="AD7" s="755"/>
      <c r="AE7" s="1261"/>
      <c r="AF7" s="2282"/>
      <c r="AG7" s="2124" t="s">
        <v>64</v>
      </c>
      <c r="AH7" s="2304"/>
      <c r="AI7" s="2124" t="s">
        <v>64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371"/>
      <c r="X9" s="371"/>
      <c r="Y9" s="371"/>
      <c r="Z9" s="371"/>
      <c r="AA9" s="371"/>
      <c r="AB9" s="371"/>
      <c r="AC9" s="371"/>
      <c r="AD9" s="371"/>
      <c r="AE9" s="371"/>
      <c r="AF9" s="371"/>
      <c r="AG9" s="371"/>
      <c r="AH9" s="371"/>
      <c r="AI9" s="371"/>
      <c r="AJ9" s="371"/>
      <c r="AK9" s="1262" t="s">
        <v>625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550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64</v>
      </c>
      <c r="AH15" s="2284"/>
      <c r="AI15" s="2285" t="s">
        <v>64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555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556</v>
      </c>
      <c r="P20" s="1366"/>
      <c r="Q20" s="1446"/>
      <c r="R20" s="1446"/>
      <c r="S20" s="733"/>
      <c r="T20" s="1164" t="s">
        <v>557</v>
      </c>
      <c r="Z20" s="190" t="s">
        <v>558</v>
      </c>
      <c r="AB20" s="190" t="s">
        <v>559</v>
      </c>
      <c r="AC20" s="1164" t="s">
        <v>557</v>
      </c>
      <c r="AG20" s="190" t="s">
        <v>560</v>
      </c>
      <c r="AI20" s="190" t="s">
        <v>559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565</v>
      </c>
      <c r="AC34" s="330"/>
      <c r="AD34" s="330"/>
      <c r="AE34" s="330"/>
      <c r="AF34" s="330"/>
      <c r="AG34" s="330"/>
      <c r="AH34" s="330"/>
      <c r="AI34" s="282" t="s">
        <v>565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t="s">
        <v>439</v>
      </c>
      <c r="AQ36" s="1159">
        <v>14</v>
      </c>
    </row>
    <row customHeight="1" ht="14.699999999999998">
      <c r="Q37" s="380"/>
      <c r="R37" s="380"/>
      <c r="S37" s="2290" t="s">
        <v>87</v>
      </c>
      <c r="T37" s="2226" t="s">
        <v>566</v>
      </c>
      <c r="U37" s="305"/>
      <c r="V37" s="2291" t="s">
        <v>567</v>
      </c>
      <c r="W37" s="2292"/>
      <c r="X37" s="2292"/>
      <c r="Y37" s="2292"/>
      <c r="Z37" s="2292"/>
      <c r="AA37" s="2293"/>
      <c r="AB37" s="2294" t="s">
        <v>568</v>
      </c>
      <c r="AC37" s="2291" t="s">
        <v>567</v>
      </c>
      <c r="AD37" s="2292"/>
      <c r="AE37" s="2292"/>
      <c r="AF37" s="2292"/>
      <c r="AG37" s="2292"/>
      <c r="AH37" s="2293"/>
      <c r="AI37" s="2294" t="s">
        <v>569</v>
      </c>
      <c r="AJ37" s="2297" t="s">
        <v>570</v>
      </c>
      <c r="AK37" s="2144"/>
      <c r="AQ37" s="1159">
        <v>14</v>
      </c>
    </row>
    <row customHeight="1" ht="35.699999999999996">
      <c r="Q38" s="380"/>
      <c r="R38" s="380"/>
      <c r="S38" s="2290"/>
      <c r="T38" s="2226"/>
      <c r="U38" s="1035"/>
      <c r="V38" s="1487" t="s">
        <v>627</v>
      </c>
      <c r="W38" s="2279" t="s">
        <v>573</v>
      </c>
      <c r="X38" s="2280"/>
      <c r="Y38" s="2279" t="s">
        <v>574</v>
      </c>
      <c r="Z38" s="2286"/>
      <c r="AA38" s="2280"/>
      <c r="AB38" s="2295"/>
      <c r="AC38" s="1487" t="s">
        <v>627</v>
      </c>
      <c r="AD38" s="2279" t="s">
        <v>573</v>
      </c>
      <c r="AE38" s="2280"/>
      <c r="AF38" s="2279" t="s">
        <v>574</v>
      </c>
      <c r="AG38" s="2286"/>
      <c r="AH38" s="2280"/>
      <c r="AI38" s="2295"/>
      <c r="AJ38" s="2298"/>
      <c r="AK38" s="2144"/>
      <c r="AQ38" s="1159">
        <v>34</v>
      </c>
    </row>
    <row customHeight="1" ht="90.3">
      <c r="A39" s="1374"/>
      <c r="B39" s="1374" t="s">
        <v>279</v>
      </c>
      <c r="C39" s="1374" t="s">
        <v>280</v>
      </c>
      <c r="D39" s="1374" t="s">
        <v>281</v>
      </c>
      <c r="E39" s="1368" t="s">
        <v>575</v>
      </c>
      <c r="F39" s="1368" t="s">
        <v>576</v>
      </c>
      <c r="G39" s="1368" t="s">
        <v>577</v>
      </c>
      <c r="H39" s="1368"/>
      <c r="I39" s="1368" t="s">
        <v>628</v>
      </c>
      <c r="J39" s="1368" t="s">
        <v>580</v>
      </c>
      <c r="K39" s="1368" t="s">
        <v>629</v>
      </c>
      <c r="L39" s="1368" t="s">
        <v>556</v>
      </c>
      <c r="Q39" s="380"/>
      <c r="R39" s="380"/>
      <c r="S39" s="2290"/>
      <c r="T39" s="2226"/>
      <c r="U39" s="306"/>
      <c r="V39" s="1487" t="s">
        <v>656</v>
      </c>
      <c r="W39" s="1226" t="s">
        <v>657</v>
      </c>
      <c r="X39" s="1226" t="s">
        <v>632</v>
      </c>
      <c r="Y39" s="1493" t="s">
        <v>584</v>
      </c>
      <c r="Z39" s="2287" t="s">
        <v>585</v>
      </c>
      <c r="AA39" s="2288"/>
      <c r="AB39" s="2296"/>
      <c r="AC39" s="1487" t="s">
        <v>656</v>
      </c>
      <c r="AD39" s="1226" t="s">
        <v>657</v>
      </c>
      <c r="AE39" s="1226" t="s">
        <v>632</v>
      </c>
      <c r="AF39" s="1493" t="s">
        <v>584</v>
      </c>
      <c r="AG39" s="2287" t="s">
        <v>585</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102</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409</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267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409</v>
      </c>
      <c r="B42" s="1367" t="s">
        <v>410</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535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536</v>
      </c>
      <c r="AM42" s="504"/>
      <c r="AN42" s="504" t="str">
        <f>IF(T42="","",T42)</f>
        <v>Территория действия тарифа</v>
      </c>
      <c r="AO42" s="504"/>
      <c r="AP42" s="504"/>
      <c r="AQ42" s="1159">
        <v>23</v>
      </c>
    </row>
    <row customHeight="1" ht="24">
      <c r="A43" s="1367" t="s">
        <v>409</v>
      </c>
      <c r="B43" s="1367" t="s">
        <v>410</v>
      </c>
      <c r="C43" s="1367" t="s">
        <v>411</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654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655</v>
      </c>
      <c r="AM43" s="504"/>
      <c r="AN43" s="504" t="str">
        <f>IF(T43="","",T43)</f>
        <v>Наименование централизованной системы водоотведения</v>
      </c>
      <c r="AO43" s="504"/>
      <c r="AP43" s="504"/>
      <c r="AQ43" s="1159">
        <v>23</v>
      </c>
    </row>
    <row customHeight="1" ht="24">
      <c r="A44" s="1367" t="s">
        <v>409</v>
      </c>
      <c r="B44" s="1367" t="s">
        <v>410</v>
      </c>
      <c r="C44" s="1367" t="s">
        <v>411</v>
      </c>
      <c r="D44" s="1367" t="s">
        <v>659</v>
      </c>
      <c r="E44" s="2276"/>
      <c r="F44" s="2276"/>
      <c r="G44" s="2276"/>
      <c r="H44" s="2276"/>
      <c r="I44" s="2273" t="str">
        <f>S43&amp;".1"</f>
        <v>...1</v>
      </c>
      <c r="J44" s="1367"/>
      <c r="K44" s="1367"/>
      <c r="L44" s="1368"/>
      <c r="P44" s="2274">
        <v>1</v>
      </c>
      <c r="Q44" s="1485"/>
      <c r="R44" s="360"/>
      <c r="S44" s="1497" t="str">
        <f>$I44</f>
        <v>...1</v>
      </c>
      <c r="T44" s="289" t="s">
        <v>621</v>
      </c>
      <c r="U44" s="304"/>
      <c r="V44" s="2367"/>
      <c r="W44" s="2368"/>
      <c r="X44" s="2368"/>
      <c r="Y44" s="2368"/>
      <c r="Z44" s="2368"/>
      <c r="AA44" s="2368"/>
      <c r="AB44" s="2369"/>
      <c r="AC44" s="2370"/>
      <c r="AD44" s="2371"/>
      <c r="AE44" s="2371"/>
      <c r="AF44" s="2371"/>
      <c r="AG44" s="2371"/>
      <c r="AH44" s="2371"/>
      <c r="AI44" s="2371"/>
      <c r="AJ44" s="2372"/>
      <c r="AK44" s="1262" t="s">
        <v>622</v>
      </c>
      <c r="AM44" s="504"/>
      <c r="AN44" s="504" t="str">
        <f>IF(T44="","",T44)</f>
        <v>Наименование признака дифференциации</v>
      </c>
      <c r="AO44" s="504"/>
      <c r="AP44" s="504"/>
      <c r="AQ44" s="1159">
        <v>23</v>
      </c>
    </row>
    <row customHeight="1" ht="24">
      <c r="A45" s="1367" t="s">
        <v>409</v>
      </c>
      <c r="B45" s="1367" t="s">
        <v>410</v>
      </c>
      <c r="C45" s="1367" t="s">
        <v>411</v>
      </c>
      <c r="D45" s="1367" t="s">
        <v>659</v>
      </c>
      <c r="E45" s="2276"/>
      <c r="F45" s="2276"/>
      <c r="G45" s="2276"/>
      <c r="H45" s="2276"/>
      <c r="I45" s="2303"/>
      <c r="J45" s="2273" t="str">
        <f>I44&amp;".1"</f>
        <v>...1.1</v>
      </c>
      <c r="K45" s="1367"/>
      <c r="L45" s="1368" t="s">
        <v>544</v>
      </c>
      <c r="P45" s="2274"/>
      <c r="Q45" s="2274">
        <v>1</v>
      </c>
      <c r="R45" s="361"/>
      <c r="S45" s="1497" t="str">
        <f>$J45</f>
        <v>...1.1</v>
      </c>
      <c r="T45" s="290" t="s">
        <v>545</v>
      </c>
      <c r="U45" s="304"/>
      <c r="V45" s="2262"/>
      <c r="W45" s="2263"/>
      <c r="X45" s="2263"/>
      <c r="Y45" s="2263"/>
      <c r="Z45" s="2263"/>
      <c r="AA45" s="2263"/>
      <c r="AB45" s="2264"/>
      <c r="AC45" s="2262"/>
      <c r="AD45" s="2263"/>
      <c r="AE45" s="2263"/>
      <c r="AF45" s="2263"/>
      <c r="AG45" s="2263"/>
      <c r="AH45" s="2263"/>
      <c r="AI45" s="2263"/>
      <c r="AJ45" s="2264"/>
      <c r="AK45" s="1311" t="s">
        <v>623</v>
      </c>
      <c r="AM45" s="504"/>
      <c r="AN45" s="504" t="str">
        <f>IF(T45="","",T45)</f>
        <v>Группа потребителей</v>
      </c>
      <c r="AO45" s="504"/>
      <c r="AP45" s="504"/>
      <c r="AQ45" s="1159">
        <v>23</v>
      </c>
    </row>
    <row customHeight="1" ht="24">
      <c r="A46" s="1367" t="s">
        <v>409</v>
      </c>
      <c r="B46" s="1367" t="s">
        <v>410</v>
      </c>
      <c r="C46" s="1367" t="s">
        <v>411</v>
      </c>
      <c r="D46" s="1367" t="s">
        <v>659</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64</v>
      </c>
      <c r="AA46" s="2284"/>
      <c r="AB46" s="2285" t="s">
        <v>64</v>
      </c>
      <c r="AC46" s="755"/>
      <c r="AD46" s="755"/>
      <c r="AE46" s="1261"/>
      <c r="AF46" s="2282"/>
      <c r="AG46" s="2124" t="s">
        <v>64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409</v>
      </c>
      <c r="B47" s="1367" t="s">
        <v>410</v>
      </c>
      <c r="C47" s="1367" t="s">
        <v>411</v>
      </c>
      <c r="D47" s="1367" t="s">
        <v>659</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409</v>
      </c>
      <c r="B48" s="1367" t="s">
        <v>410</v>
      </c>
      <c r="C48" s="1367" t="s">
        <v>411</v>
      </c>
      <c r="D48" s="1367" t="s">
        <v>659</v>
      </c>
      <c r="E48" s="2276"/>
      <c r="F48" s="2276"/>
      <c r="G48" s="2276"/>
      <c r="H48" s="2276"/>
      <c r="I48" s="2303"/>
      <c r="J48" s="2273"/>
      <c r="K48" s="1367"/>
      <c r="L48" s="1368"/>
      <c r="P48" s="2274"/>
      <c r="Q48" s="2274"/>
      <c r="R48" s="360"/>
      <c r="S48" s="1282"/>
      <c r="T48" s="291" t="s">
        <v>624</v>
      </c>
      <c r="U48" s="371"/>
      <c r="V48" s="371"/>
      <c r="W48" s="371"/>
      <c r="X48" s="371"/>
      <c r="Y48" s="371"/>
      <c r="Z48" s="371"/>
      <c r="AA48" s="371"/>
      <c r="AB48" s="371"/>
      <c r="AC48" s="371"/>
      <c r="AD48" s="371"/>
      <c r="AE48" s="371"/>
      <c r="AF48" s="371"/>
      <c r="AG48" s="371"/>
      <c r="AH48" s="371"/>
      <c r="AI48" s="371"/>
      <c r="AJ48" s="371"/>
      <c r="AK48" s="1262" t="s">
        <v>625</v>
      </c>
      <c r="AM48" s="504"/>
      <c r="AN48" s="504" t="str">
        <f>IF(T48="","",T48)</f>
        <v>Добавить значение признака дифференциации</v>
      </c>
      <c r="AO48" s="504"/>
      <c r="AP48" s="504"/>
      <c r="AQ48" s="1159">
        <v>20</v>
      </c>
    </row>
    <row customHeight="1" ht="22.049999999999997">
      <c r="A49" s="1367" t="s">
        <v>409</v>
      </c>
      <c r="B49" s="1367" t="s">
        <v>410</v>
      </c>
      <c r="C49" s="1367" t="s">
        <v>411</v>
      </c>
      <c r="D49" s="1367" t="s">
        <v>659</v>
      </c>
      <c r="E49" s="2276"/>
      <c r="F49" s="2276"/>
      <c r="G49" s="2276"/>
      <c r="H49" s="2276"/>
      <c r="I49" s="2273"/>
      <c r="J49" s="1367"/>
      <c r="K49" s="1367"/>
      <c r="L49" s="1368"/>
      <c r="P49" s="2274"/>
      <c r="Q49" s="1485"/>
      <c r="R49" s="360"/>
      <c r="S49" s="1282"/>
      <c r="T49" s="369" t="s">
        <v>550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409</v>
      </c>
      <c r="B50" s="1367" t="s">
        <v>410</v>
      </c>
      <c r="C50" s="1367" t="s">
        <v>411</v>
      </c>
      <c r="D50" s="1367" t="s">
        <v>659</v>
      </c>
      <c r="E50" s="2276"/>
      <c r="F50" s="2276"/>
      <c r="G50" s="2276"/>
      <c r="H50" s="2275"/>
      <c r="I50" s="1367"/>
      <c r="J50" s="1367"/>
      <c r="K50" s="1367"/>
      <c r="L50" s="1368"/>
      <c r="M50" s="1369"/>
      <c r="N50" s="1369"/>
      <c r="O50" s="541"/>
      <c r="P50" s="364"/>
      <c r="Q50" s="379"/>
      <c r="R50" s="359"/>
      <c r="S50" s="1282"/>
      <c r="T50" s="376" t="s">
        <v>626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409</v>
      </c>
      <c r="B51" s="1347" t="s">
        <v>410</v>
      </c>
      <c r="C51" s="1318"/>
      <c r="D51" s="1318"/>
      <c r="E51" s="2276"/>
      <c r="F51" s="2275"/>
      <c r="G51" s="1318"/>
      <c r="H51" s="1318"/>
      <c r="I51" s="1318"/>
      <c r="J51" s="1318"/>
      <c r="K51" s="1318"/>
      <c r="L51" s="1498"/>
      <c r="M51" s="1325"/>
      <c r="N51" s="1325"/>
      <c r="P51" s="1320"/>
      <c r="Q51" s="1321"/>
      <c r="R51" s="1320"/>
      <c r="S51" s="1326"/>
      <c r="T51" s="1329" t="s">
        <v>553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409</v>
      </c>
      <c r="B52" s="1347"/>
      <c r="C52" s="1347"/>
      <c r="D52" s="1347"/>
      <c r="E52" s="2275"/>
      <c r="F52" s="1347"/>
      <c r="G52" s="1347"/>
      <c r="H52" s="1347"/>
      <c r="I52" s="1347"/>
      <c r="J52" s="1347"/>
      <c r="K52" s="1347"/>
      <c r="L52" s="1350"/>
      <c r="M52" s="1325"/>
      <c r="N52" s="1325"/>
      <c r="O52" s="522"/>
      <c r="P52" s="384"/>
      <c r="Q52" s="1348"/>
      <c r="R52" s="384"/>
      <c r="S52" s="1326"/>
      <c r="T52" s="1329" t="s">
        <v>554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586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BD091-272A-AA19-EDD8-1CC9C9CA79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267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535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536</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654</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655</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540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541</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64</v>
      </c>
      <c r="AB8" s="1737"/>
      <c r="AC8" s="1473" t="s">
        <v>64</v>
      </c>
      <c r="AD8" s="2202" t="s">
        <v>64</v>
      </c>
      <c r="AE8" s="2343"/>
      <c r="AF8" s="2222">
        <v>1</v>
      </c>
      <c r="AG8" s="2380"/>
      <c r="AH8" s="2124" t="s">
        <v>64</v>
      </c>
      <c r="AI8" s="2343"/>
      <c r="AJ8" s="2222">
        <v>1</v>
      </c>
      <c r="AK8" s="2344" t="s">
        <v>22</v>
      </c>
      <c r="AL8" s="2124" t="s">
        <v>64</v>
      </c>
      <c r="AM8" s="2209"/>
      <c r="AN8" s="2222">
        <v>1</v>
      </c>
      <c r="AO8" s="2374"/>
      <c r="AP8" s="2375" t="s">
        <v>64</v>
      </c>
      <c r="AQ8" s="315"/>
      <c r="AR8" s="1490">
        <v>1</v>
      </c>
      <c r="AS8" s="1496" t="s">
        <v>22</v>
      </c>
      <c r="AT8" s="755"/>
      <c r="AU8" s="1261"/>
      <c r="AV8" s="755"/>
      <c r="AW8" s="1261"/>
      <c r="AX8" s="1737"/>
      <c r="AY8" s="1473" t="s">
        <v>64</v>
      </c>
      <c r="AZ8" s="1737"/>
      <c r="BA8" s="1473" t="s">
        <v>64</v>
      </c>
      <c r="BB8" s="1352"/>
      <c r="BC8" s="2270" t="s">
        <v>639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640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660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661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643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606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553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554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64</v>
      </c>
      <c r="AZ20" s="1739"/>
      <c r="BA20" s="1489" t="s">
        <v>64</v>
      </c>
      <c r="BI20" s="1159">
        <v>0</v>
      </c>
    </row>
    <row customHeight="1" ht="14.25" hidden="1">
      <c r="BD21" s="500"/>
      <c r="BE21" s="500"/>
      <c r="BF21" s="500"/>
      <c r="BG21" s="500"/>
      <c r="BH21" s="500"/>
      <c r="BI21" s="1159">
        <v>0</v>
      </c>
    </row>
    <row customHeight="1" ht="14.25" hidden="1">
      <c r="O22" s="1371" t="s">
        <v>555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556</v>
      </c>
      <c r="P24" s="1512"/>
      <c r="Q24" s="1514"/>
      <c r="R24" s="1514"/>
      <c r="AA24" s="1511" t="s">
        <v>558</v>
      </c>
      <c r="AC24" s="1511" t="s">
        <v>559</v>
      </c>
      <c r="AD24" s="1511" t="s">
        <v>607</v>
      </c>
      <c r="AH24" s="1511" t="s">
        <v>607</v>
      </c>
      <c r="AK24" s="1511" t="s">
        <v>644</v>
      </c>
      <c r="AL24" s="1511" t="s">
        <v>607</v>
      </c>
      <c r="AP24" s="1511" t="s">
        <v>607</v>
      </c>
      <c r="AY24" s="1511" t="s">
        <v>558</v>
      </c>
      <c r="BA24" s="1511" t="s">
        <v>559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КГУП "Примтеплоэнерго"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561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562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561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562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565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565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438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439</v>
      </c>
      <c r="BI40" s="1159">
        <v>14</v>
      </c>
    </row>
    <row customHeight="1" ht="14.699999999999998">
      <c r="Q41" s="295"/>
      <c r="R41" s="380"/>
      <c r="S41" s="2290" t="s">
        <v>87</v>
      </c>
      <c r="T41" s="2226" t="s">
        <v>645</v>
      </c>
      <c r="U41" s="305"/>
      <c r="V41" s="2291" t="s">
        <v>567</v>
      </c>
      <c r="W41" s="2292"/>
      <c r="X41" s="2292"/>
      <c r="Y41" s="2292"/>
      <c r="Z41" s="2292"/>
      <c r="AA41" s="2292"/>
      <c r="AB41" s="2293"/>
      <c r="AC41" s="2294" t="s">
        <v>568</v>
      </c>
      <c r="AD41" s="2345" t="s">
        <v>662</v>
      </c>
      <c r="AE41" s="2308"/>
      <c r="AF41" s="2308"/>
      <c r="AG41" s="2346"/>
      <c r="AH41" s="2345" t="s">
        <v>663</v>
      </c>
      <c r="AI41" s="2308"/>
      <c r="AJ41" s="2308"/>
      <c r="AK41" s="2346"/>
      <c r="AL41" s="2345" t="s">
        <v>664</v>
      </c>
      <c r="AM41" s="2308"/>
      <c r="AN41" s="2308"/>
      <c r="AO41" s="2346"/>
      <c r="AP41" s="2345" t="s">
        <v>649</v>
      </c>
      <c r="AQ41" s="2308"/>
      <c r="AR41" s="2308"/>
      <c r="AS41" s="2346"/>
      <c r="AT41" s="2291" t="s">
        <v>567</v>
      </c>
      <c r="AU41" s="2292"/>
      <c r="AV41" s="2292"/>
      <c r="AW41" s="2292"/>
      <c r="AX41" s="2292"/>
      <c r="AY41" s="2292"/>
      <c r="AZ41" s="2293"/>
      <c r="BA41" s="2294" t="s">
        <v>568</v>
      </c>
      <c r="BB41" s="2297" t="s">
        <v>570</v>
      </c>
      <c r="BC41" s="2144"/>
      <c r="BI41" s="1159">
        <v>14</v>
      </c>
    </row>
    <row customHeight="1" ht="35.699999999999996">
      <c r="Q42" s="295"/>
      <c r="R42" s="380"/>
      <c r="S42" s="2290"/>
      <c r="T42" s="2226"/>
      <c r="U42" s="1035"/>
      <c r="V42" s="2209" t="s">
        <v>650</v>
      </c>
      <c r="W42" s="2210"/>
      <c r="X42" s="2209" t="s">
        <v>651</v>
      </c>
      <c r="Y42" s="2210"/>
      <c r="Z42" s="2311" t="s">
        <v>652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665</v>
      </c>
      <c r="AU42" s="2210"/>
      <c r="AV42" s="2209" t="s">
        <v>666</v>
      </c>
      <c r="AW42" s="2210"/>
      <c r="AX42" s="2311" t="s">
        <v>652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279</v>
      </c>
      <c r="C44" s="1374" t="s">
        <v>280</v>
      </c>
      <c r="D44" s="1374" t="s">
        <v>281</v>
      </c>
      <c r="E44" s="1368" t="s">
        <v>575</v>
      </c>
      <c r="F44" s="1368" t="s">
        <v>576</v>
      </c>
      <c r="G44" s="1368" t="s">
        <v>577</v>
      </c>
      <c r="H44" s="1368" t="s">
        <v>578</v>
      </c>
      <c r="I44" s="1368" t="s">
        <v>579</v>
      </c>
      <c r="J44" s="1368" t="s">
        <v>580</v>
      </c>
      <c r="K44" s="1368" t="s">
        <v>581</v>
      </c>
      <c r="L44" s="1368" t="s">
        <v>556</v>
      </c>
      <c r="Q44" s="295"/>
      <c r="R44" s="380"/>
      <c r="S44" s="2290"/>
      <c r="T44" s="2226"/>
      <c r="U44" s="306"/>
      <c r="V44" s="1483" t="s">
        <v>616</v>
      </c>
      <c r="W44" s="1483" t="s">
        <v>617</v>
      </c>
      <c r="X44" s="1483" t="s">
        <v>616</v>
      </c>
      <c r="Y44" s="1483" t="s">
        <v>617</v>
      </c>
      <c r="Z44" s="1493" t="s">
        <v>584</v>
      </c>
      <c r="AA44" s="2287" t="s">
        <v>585</v>
      </c>
      <c r="AB44" s="2288"/>
      <c r="AC44" s="2296"/>
      <c r="AD44" s="2350"/>
      <c r="AE44" s="2351"/>
      <c r="AF44" s="2351"/>
      <c r="AG44" s="2352"/>
      <c r="AH44" s="2350"/>
      <c r="AI44" s="2351"/>
      <c r="AJ44" s="2351"/>
      <c r="AK44" s="2352"/>
      <c r="AL44" s="2350"/>
      <c r="AM44" s="2351"/>
      <c r="AN44" s="2351"/>
      <c r="AO44" s="2352"/>
      <c r="AP44" s="2350"/>
      <c r="AQ44" s="2351"/>
      <c r="AR44" s="2351"/>
      <c r="AS44" s="2352"/>
      <c r="AT44" s="1483" t="s">
        <v>616</v>
      </c>
      <c r="AU44" s="1483" t="s">
        <v>617</v>
      </c>
      <c r="AV44" s="1483" t="s">
        <v>616</v>
      </c>
      <c r="AW44" s="1483" t="s">
        <v>617</v>
      </c>
      <c r="AX44" s="1493" t="s">
        <v>584</v>
      </c>
      <c r="AY44" s="2287" t="s">
        <v>585</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105</v>
      </c>
      <c r="T45" s="1259" t="s">
        <v>102</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414</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267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414</v>
      </c>
      <c r="B47" s="1367" t="s">
        <v>415</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535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536</v>
      </c>
      <c r="BE47" s="504"/>
      <c r="BF47" s="504" t="str">
        <f>IF(T47="","",T47)</f>
        <v>Территория действия тарифа</v>
      </c>
      <c r="BG47" s="504"/>
      <c r="BH47" s="504"/>
      <c r="BI47" s="1159">
        <v>21</v>
      </c>
    </row>
    <row customHeight="1" ht="35.699999999999996">
      <c r="A48" s="1367" t="s">
        <v>414</v>
      </c>
      <c r="B48" s="1367" t="s">
        <v>415</v>
      </c>
      <c r="C48" s="1367" t="s">
        <v>416</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654</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655</v>
      </c>
      <c r="BE48" s="504"/>
      <c r="BF48" s="504" t="str">
        <f>IF(T48="","",T48)</f>
        <v>Наименование централизованной системы водоотведения</v>
      </c>
      <c r="BG48" s="504"/>
      <c r="BH48" s="504"/>
      <c r="BI48" s="1159">
        <v>34</v>
      </c>
    </row>
    <row s="1646" customFormat="1" customHeight="1" ht="0">
      <c r="A49" s="1347" t="s">
        <v>414</v>
      </c>
      <c r="B49" s="1347" t="s">
        <v>415</v>
      </c>
      <c r="C49" s="1347" t="s">
        <v>416</v>
      </c>
      <c r="D49" s="1347" t="s">
        <v>667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540</v>
      </c>
      <c r="BE49" s="504"/>
      <c r="BF49" s="504" t="str">
        <f>IF(T49="","",T49)</f>
        <v/>
      </c>
      <c r="BG49" s="504"/>
      <c r="BH49" s="504"/>
      <c r="BI49" s="515">
        <v>0</v>
      </c>
    </row>
    <row s="1646" customFormat="1" customHeight="1" ht="0">
      <c r="A50" s="1347" t="s">
        <v>414</v>
      </c>
      <c r="B50" s="1347" t="s">
        <v>415</v>
      </c>
      <c r="C50" s="1347" t="s">
        <v>416</v>
      </c>
      <c r="D50" s="1347" t="s">
        <v>667</v>
      </c>
      <c r="E50" s="2276"/>
      <c r="F50" s="2276"/>
      <c r="G50" s="2276"/>
      <c r="H50" s="2276"/>
      <c r="I50" s="2273" t="str">
        <f>S49&amp;".1"</f>
        <v>.1</v>
      </c>
      <c r="J50" s="1347"/>
      <c r="K50" s="1347"/>
      <c r="L50" s="1350" t="s">
        <v>541</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414</v>
      </c>
      <c r="B51" s="1347" t="s">
        <v>415</v>
      </c>
      <c r="C51" s="1347" t="s">
        <v>416</v>
      </c>
      <c r="D51" s="1347" t="s">
        <v>667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414</v>
      </c>
      <c r="B52" s="1367" t="s">
        <v>415</v>
      </c>
      <c r="C52" s="1367" t="s">
        <v>416</v>
      </c>
      <c r="D52" s="1367" t="s">
        <v>667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64</v>
      </c>
      <c r="AB52" s="1737"/>
      <c r="AC52" s="1473" t="s">
        <v>64</v>
      </c>
      <c r="AD52" s="2202" t="s">
        <v>64</v>
      </c>
      <c r="AE52" s="2343"/>
      <c r="AF52" s="2222">
        <v>1</v>
      </c>
      <c r="AG52" s="2380"/>
      <c r="AH52" s="2124" t="s">
        <v>64</v>
      </c>
      <c r="AI52" s="2343"/>
      <c r="AJ52" s="2222">
        <v>1</v>
      </c>
      <c r="AK52" s="2344" t="s">
        <v>22</v>
      </c>
      <c r="AL52" s="2124" t="s">
        <v>64</v>
      </c>
      <c r="AM52" s="2209"/>
      <c r="AN52" s="2222">
        <v>1</v>
      </c>
      <c r="AO52" s="2374"/>
      <c r="AP52" s="2375" t="s">
        <v>64</v>
      </c>
      <c r="AQ52" s="315"/>
      <c r="AR52" s="1490">
        <v>1</v>
      </c>
      <c r="AS52" s="1496" t="s">
        <v>22</v>
      </c>
      <c r="AT52" s="755"/>
      <c r="AU52" s="1261"/>
      <c r="AV52" s="755"/>
      <c r="AW52" s="1261"/>
      <c r="AX52" s="1737"/>
      <c r="AY52" s="1473" t="s">
        <v>64</v>
      </c>
      <c r="AZ52" s="1737"/>
      <c r="BA52" s="1473" t="s">
        <v>64</v>
      </c>
      <c r="BB52" s="1352"/>
      <c r="BC52" s="2270" t="s">
        <v>639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640</v>
      </c>
      <c r="AT53" s="1397"/>
      <c r="AU53" s="1500"/>
      <c r="AV53" s="1397"/>
      <c r="AW53" s="1500"/>
      <c r="AX53" s="1397"/>
      <c r="AY53" s="1397"/>
      <c r="AZ53" s="1397"/>
      <c r="BA53" s="1397"/>
      <c r="BB53" s="1401"/>
      <c r="BC53" s="2271"/>
      <c r="BE53" s="504"/>
      <c r="BF53" s="504"/>
      <c r="BG53" s="504"/>
      <c r="BH53" s="504"/>
      <c r="BI53" s="1159">
        <v>11</v>
      </c>
    </row>
    <row customHeight="1" ht="11.549999999999999">
      <c r="A54" s="1367" t="s">
        <v>414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660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414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661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414</v>
      </c>
      <c r="B56" s="1367" t="s">
        <v>415</v>
      </c>
      <c r="C56" s="1367" t="s">
        <v>416</v>
      </c>
      <c r="D56" s="1367" t="s">
        <v>667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643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414</v>
      </c>
      <c r="B57" s="1367" t="s">
        <v>415</v>
      </c>
      <c r="C57" s="1367" t="s">
        <v>416</v>
      </c>
      <c r="D57" s="1367" t="s">
        <v>667</v>
      </c>
      <c r="E57" s="2276"/>
      <c r="F57" s="2276"/>
      <c r="G57" s="2276"/>
      <c r="H57" s="2276"/>
      <c r="I57" s="2303"/>
      <c r="J57" s="2273"/>
      <c r="K57" s="1367"/>
      <c r="L57" s="1368"/>
      <c r="P57" s="2274"/>
      <c r="Q57" s="2274"/>
      <c r="R57" s="360"/>
      <c r="S57" s="1282"/>
      <c r="T57" s="291" t="s">
        <v>606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414</v>
      </c>
      <c r="B58" s="1347" t="s">
        <v>415</v>
      </c>
      <c r="C58" s="1347" t="s">
        <v>416</v>
      </c>
      <c r="D58" s="1347" t="s">
        <v>667</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414</v>
      </c>
      <c r="B59" s="1347" t="s">
        <v>415</v>
      </c>
      <c r="C59" s="1347" t="s">
        <v>416</v>
      </c>
      <c r="D59" s="1347" t="s">
        <v>667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414</v>
      </c>
      <c r="B60" s="1347" t="s">
        <v>415</v>
      </c>
      <c r="C60" s="1347" t="s">
        <v>416</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414</v>
      </c>
      <c r="B61" s="1347" t="s">
        <v>415</v>
      </c>
      <c r="C61" s="1318"/>
      <c r="D61" s="1318"/>
      <c r="E61" s="2276"/>
      <c r="F61" s="2275"/>
      <c r="G61" s="1318"/>
      <c r="H61" s="1318"/>
      <c r="I61" s="1318"/>
      <c r="J61" s="1318"/>
      <c r="K61" s="1318"/>
      <c r="L61" s="1498"/>
      <c r="M61" s="1325"/>
      <c r="N61" s="1325"/>
      <c r="P61" s="1320"/>
      <c r="Q61" s="1321"/>
      <c r="R61" s="1320"/>
      <c r="S61" s="1326"/>
      <c r="T61" s="1329" t="s">
        <v>553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414</v>
      </c>
      <c r="B62" s="1347"/>
      <c r="C62" s="1347"/>
      <c r="D62" s="1347"/>
      <c r="E62" s="2275"/>
      <c r="F62" s="1347"/>
      <c r="G62" s="1347"/>
      <c r="H62" s="1347"/>
      <c r="I62" s="1347"/>
      <c r="J62" s="1347"/>
      <c r="K62" s="1347"/>
      <c r="L62" s="1350"/>
      <c r="M62" s="1325"/>
      <c r="N62" s="1325"/>
      <c r="O62" s="522"/>
      <c r="P62" s="384"/>
      <c r="Q62" s="1348"/>
      <c r="R62" s="384"/>
      <c r="S62" s="1326"/>
      <c r="T62" s="1329" t="s">
        <v>554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586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2BA8-42F3-ACEC-B5A8-B8C32B8A3C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267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535</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536</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668</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669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621</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622</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544</v>
      </c>
      <c r="P6" s="2274"/>
      <c r="Q6" s="2274">
        <v>1</v>
      </c>
      <c r="R6" s="361"/>
      <c r="S6" s="1497">
        <f>$J6</f>
      </c>
      <c r="T6" s="290" t="s">
        <v>545</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623</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64</v>
      </c>
      <c r="AE7" s="2282"/>
      <c r="AF7" s="2124" t="s">
        <v>64</v>
      </c>
      <c r="AG7" s="755"/>
      <c r="AH7" s="755"/>
      <c r="AI7" s="755"/>
      <c r="AJ7" s="755"/>
      <c r="AK7" s="755"/>
      <c r="AL7" s="755"/>
      <c r="AM7" s="755"/>
      <c r="AN7" s="2282"/>
      <c r="AO7" s="2124" t="s">
        <v>64</v>
      </c>
      <c r="AP7" s="2304"/>
      <c r="AQ7" s="2124" t="s">
        <v>64</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625</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550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64</v>
      </c>
      <c r="AP15" s="2284"/>
      <c r="AQ15" s="2285" t="s">
        <v>64</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555</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556</v>
      </c>
      <c r="P20" s="1366"/>
      <c r="Q20" s="1446"/>
      <c r="R20" s="1446"/>
      <c r="S20" s="733"/>
      <c r="T20" s="1164" t="s">
        <v>557</v>
      </c>
      <c r="W20" s="1370"/>
      <c r="X20" s="1370"/>
      <c r="Y20" s="1370"/>
      <c r="Z20" s="1370"/>
      <c r="AA20" s="1370"/>
      <c r="AB20" s="1370"/>
      <c r="AD20" s="190" t="s">
        <v>558</v>
      </c>
      <c r="AF20" s="190" t="s">
        <v>559</v>
      </c>
      <c r="AG20" s="1164" t="s">
        <v>557</v>
      </c>
      <c r="AH20" s="1370"/>
      <c r="AI20" s="1370"/>
      <c r="AJ20" s="1370"/>
      <c r="AK20" s="1370"/>
      <c r="AL20" s="1370"/>
      <c r="AO20" s="190" t="s">
        <v>560</v>
      </c>
      <c r="AQ20" s="190" t="s">
        <v>559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565</v>
      </c>
      <c r="AG34" s="330"/>
      <c r="AH34" s="1639"/>
      <c r="AI34" s="1639"/>
      <c r="AJ34" s="1639"/>
      <c r="AK34" s="1639"/>
      <c r="AL34" s="1639"/>
      <c r="AM34" s="330"/>
      <c r="AN34" s="330"/>
      <c r="AO34" s="330"/>
      <c r="AP34" s="330"/>
      <c r="AQ34" s="282" t="s">
        <v>565</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439</v>
      </c>
      <c r="AY36" s="1159">
        <v>14</v>
      </c>
    </row>
    <row customHeight="1" ht="14.699999999999998">
      <c r="Q37" s="380"/>
      <c r="R37" s="380"/>
      <c r="S37" s="2290" t="s">
        <v>87</v>
      </c>
      <c r="T37" s="2226" t="s">
        <v>566</v>
      </c>
      <c r="U37" s="305"/>
      <c r="V37" s="2291" t="s">
        <v>567</v>
      </c>
      <c r="W37" s="2308"/>
      <c r="X37" s="2308"/>
      <c r="Y37" s="2308"/>
      <c r="Z37" s="2308"/>
      <c r="AA37" s="2308"/>
      <c r="AB37" s="2308"/>
      <c r="AC37" s="2292"/>
      <c r="AD37" s="2292"/>
      <c r="AE37" s="2293"/>
      <c r="AF37" s="2294" t="s">
        <v>568</v>
      </c>
      <c r="AG37" s="2291" t="s">
        <v>567</v>
      </c>
      <c r="AH37" s="2292"/>
      <c r="AI37" s="2292"/>
      <c r="AJ37" s="2292"/>
      <c r="AK37" s="2292"/>
      <c r="AL37" s="2292"/>
      <c r="AM37" s="2292"/>
      <c r="AN37" s="2292"/>
      <c r="AO37" s="2292"/>
      <c r="AP37" s="2293"/>
      <c r="AQ37" s="2294" t="s">
        <v>569</v>
      </c>
      <c r="AR37" s="2297" t="s">
        <v>570</v>
      </c>
      <c r="AS37" s="2144"/>
      <c r="AY37" s="1159">
        <v>14</v>
      </c>
    </row>
    <row customHeight="1" ht="19.95">
      <c r="Q38" s="380"/>
      <c r="R38" s="380"/>
      <c r="S38" s="2290"/>
      <c r="T38" s="2226"/>
      <c r="U38" s="1035"/>
      <c r="V38" s="2383" t="s">
        <v>670</v>
      </c>
      <c r="W38" s="2382" t="s">
        <v>671</v>
      </c>
      <c r="X38" s="2382"/>
      <c r="Y38" s="2382"/>
      <c r="Z38" s="2382" t="s">
        <v>672</v>
      </c>
      <c r="AA38" s="2382"/>
      <c r="AB38" s="2382"/>
      <c r="AC38" s="2311" t="s">
        <v>574</v>
      </c>
      <c r="AD38" s="2330"/>
      <c r="AE38" s="2331"/>
      <c r="AF38" s="2295"/>
      <c r="AG38" s="2383" t="s">
        <v>670</v>
      </c>
      <c r="AH38" s="2382" t="s">
        <v>671</v>
      </c>
      <c r="AI38" s="2382"/>
      <c r="AJ38" s="2382"/>
      <c r="AK38" s="2382" t="s">
        <v>672</v>
      </c>
      <c r="AL38" s="2382"/>
      <c r="AM38" s="2382"/>
      <c r="AN38" s="2311" t="s">
        <v>574</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673</v>
      </c>
      <c r="X39" s="2382" t="s">
        <v>674</v>
      </c>
      <c r="Y39" s="2382"/>
      <c r="Z39" s="2382" t="s">
        <v>675</v>
      </c>
      <c r="AA39" s="2382" t="s">
        <v>674</v>
      </c>
      <c r="AB39" s="2382"/>
      <c r="AC39" s="2312"/>
      <c r="AD39" s="2332"/>
      <c r="AE39" s="2333"/>
      <c r="AF39" s="2295"/>
      <c r="AG39" s="2383"/>
      <c r="AH39" s="2382" t="s">
        <v>673</v>
      </c>
      <c r="AI39" s="2382" t="s">
        <v>674</v>
      </c>
      <c r="AJ39" s="2382"/>
      <c r="AK39" s="2382" t="s">
        <v>675</v>
      </c>
      <c r="AL39" s="2382" t="s">
        <v>674</v>
      </c>
      <c r="AM39" s="2382"/>
      <c r="AN39" s="2312"/>
      <c r="AO39" s="2332"/>
      <c r="AP39" s="2333"/>
      <c r="AQ39" s="2295"/>
      <c r="AR39" s="2298"/>
      <c r="AS39" s="2144"/>
      <c r="AT39" s="1640"/>
      <c r="AU39" s="1640"/>
      <c r="AV39" s="1640"/>
      <c r="AW39" s="1640"/>
      <c r="AX39" s="1640"/>
      <c r="AY39" s="1635">
        <v>19</v>
      </c>
    </row>
    <row customHeight="1" ht="61.949999999999996">
      <c r="A40" s="1374"/>
      <c r="B40" s="1374" t="s">
        <v>279</v>
      </c>
      <c r="C40" s="1374" t="s">
        <v>280</v>
      </c>
      <c r="D40" s="1374" t="s">
        <v>281</v>
      </c>
      <c r="E40" s="1368" t="s">
        <v>575</v>
      </c>
      <c r="F40" s="1368" t="s">
        <v>576</v>
      </c>
      <c r="G40" s="1368" t="s">
        <v>577</v>
      </c>
      <c r="H40" s="1368"/>
      <c r="I40" s="1368" t="s">
        <v>628</v>
      </c>
      <c r="J40" s="1368" t="s">
        <v>580</v>
      </c>
      <c r="K40" s="1368" t="s">
        <v>629</v>
      </c>
      <c r="L40" s="1368" t="s">
        <v>556</v>
      </c>
      <c r="Q40" s="380"/>
      <c r="R40" s="380"/>
      <c r="S40" s="2290"/>
      <c r="T40" s="2226"/>
      <c r="U40" s="306"/>
      <c r="V40" s="2383"/>
      <c r="W40" s="2382"/>
      <c r="X40" s="1984" t="s">
        <v>676</v>
      </c>
      <c r="Y40" s="1984" t="s">
        <v>677</v>
      </c>
      <c r="Z40" s="2382"/>
      <c r="AA40" s="1984" t="s">
        <v>678</v>
      </c>
      <c r="AB40" s="1984" t="s">
        <v>679</v>
      </c>
      <c r="AC40" s="1493" t="s">
        <v>584</v>
      </c>
      <c r="AD40" s="2287" t="s">
        <v>585</v>
      </c>
      <c r="AE40" s="2288"/>
      <c r="AF40" s="2296"/>
      <c r="AG40" s="2383"/>
      <c r="AH40" s="2382"/>
      <c r="AI40" s="1984" t="s">
        <v>676</v>
      </c>
      <c r="AJ40" s="1984" t="s">
        <v>677</v>
      </c>
      <c r="AK40" s="2382"/>
      <c r="AL40" s="1984" t="s">
        <v>678</v>
      </c>
      <c r="AM40" s="1984" t="s">
        <v>679</v>
      </c>
      <c r="AN40" s="1493" t="s">
        <v>584</v>
      </c>
      <c r="AO40" s="2287" t="s">
        <v>585</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105</v>
      </c>
      <c r="T41" s="1259" t="s">
        <v>102</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389</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267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389</v>
      </c>
      <c r="B43" s="1367" t="s">
        <v>390</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535</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536</v>
      </c>
      <c r="AU43" s="504"/>
      <c r="AV43" s="504" t="str">
        <f>IF(T43="","",T43)</f>
        <v>Территория действия тарифа</v>
      </c>
      <c r="AW43" s="504"/>
      <c r="AX43" s="504"/>
      <c r="AY43" s="1159">
        <v>23</v>
      </c>
    </row>
    <row customHeight="1" ht="24">
      <c r="A44" s="1367" t="s">
        <v>389</v>
      </c>
      <c r="B44" s="1367" t="s">
        <v>390</v>
      </c>
      <c r="C44" s="1367" t="s">
        <v>391</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668</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669</v>
      </c>
      <c r="AU44" s="504"/>
      <c r="AV44" s="504" t="str">
        <f>IF(T44="","",T44)</f>
        <v>Наименование централизованной системы горячего водоснабжения</v>
      </c>
      <c r="AW44" s="504"/>
      <c r="AX44" s="504"/>
      <c r="AY44" s="1159">
        <v>23</v>
      </c>
    </row>
    <row customHeight="1" ht="24">
      <c r="A45" s="1367" t="s">
        <v>389</v>
      </c>
      <c r="B45" s="1367" t="s">
        <v>390</v>
      </c>
      <c r="C45" s="1367" t="s">
        <v>391</v>
      </c>
      <c r="D45" s="1367" t="s">
        <v>680</v>
      </c>
      <c r="E45" s="2276"/>
      <c r="F45" s="2276"/>
      <c r="G45" s="2276"/>
      <c r="H45" s="2276"/>
      <c r="I45" s="2273" t="str">
        <f>S44&amp;".1"</f>
        <v>...1</v>
      </c>
      <c r="J45" s="1367"/>
      <c r="K45" s="1367"/>
      <c r="L45" s="1368"/>
      <c r="P45" s="2274">
        <v>1</v>
      </c>
      <c r="Q45" s="1485"/>
      <c r="R45" s="360"/>
      <c r="S45" s="1497" t="str">
        <f>$I45</f>
        <v>...1</v>
      </c>
      <c r="T45" s="289" t="s">
        <v>621</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622</v>
      </c>
      <c r="AU45" s="504"/>
      <c r="AV45" s="504" t="str">
        <f>IF(T45="","",T45)</f>
        <v>Наименование признака дифференциации</v>
      </c>
      <c r="AW45" s="504"/>
      <c r="AX45" s="504"/>
      <c r="AY45" s="1159">
        <v>23</v>
      </c>
    </row>
    <row customHeight="1" ht="24">
      <c r="A46" s="1367" t="s">
        <v>389</v>
      </c>
      <c r="B46" s="1367" t="s">
        <v>390</v>
      </c>
      <c r="C46" s="1367" t="s">
        <v>391</v>
      </c>
      <c r="D46" s="1367" t="s">
        <v>680</v>
      </c>
      <c r="E46" s="2276"/>
      <c r="F46" s="2276"/>
      <c r="G46" s="2276"/>
      <c r="H46" s="2276"/>
      <c r="I46" s="2303"/>
      <c r="J46" s="2273" t="str">
        <f>I45&amp;".1"</f>
        <v>...1.1</v>
      </c>
      <c r="K46" s="1367"/>
      <c r="L46" s="1368" t="s">
        <v>544</v>
      </c>
      <c r="P46" s="2274"/>
      <c r="Q46" s="2274">
        <v>1</v>
      </c>
      <c r="R46" s="361"/>
      <c r="S46" s="1497" t="str">
        <f>$J46</f>
        <v>...1.1</v>
      </c>
      <c r="T46" s="290" t="s">
        <v>545</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623</v>
      </c>
      <c r="AU46" s="504"/>
      <c r="AV46" s="504" t="str">
        <f>IF(T46="","",T46)</f>
        <v>Группа потребителей</v>
      </c>
      <c r="AW46" s="504"/>
      <c r="AX46" s="504"/>
      <c r="AY46" s="1159">
        <v>23</v>
      </c>
    </row>
    <row customHeight="1" ht="24">
      <c r="A47" s="1367" t="s">
        <v>389</v>
      </c>
      <c r="B47" s="1367" t="s">
        <v>390</v>
      </c>
      <c r="C47" s="1367" t="s">
        <v>391</v>
      </c>
      <c r="D47" s="1367" t="s">
        <v>680</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64</v>
      </c>
      <c r="AE47" s="2284"/>
      <c r="AF47" s="2285" t="s">
        <v>64</v>
      </c>
      <c r="AG47" s="755"/>
      <c r="AH47" s="755"/>
      <c r="AI47" s="755"/>
      <c r="AJ47" s="755"/>
      <c r="AK47" s="755"/>
      <c r="AL47" s="755"/>
      <c r="AM47" s="755"/>
      <c r="AN47" s="2282"/>
      <c r="AO47" s="2124" t="s">
        <v>64</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389</v>
      </c>
      <c r="B48" s="1367" t="s">
        <v>390</v>
      </c>
      <c r="C48" s="1367" t="s">
        <v>391</v>
      </c>
      <c r="D48" s="1367" t="s">
        <v>680</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389</v>
      </c>
      <c r="B49" s="1367" t="s">
        <v>390</v>
      </c>
      <c r="C49" s="1367" t="s">
        <v>391</v>
      </c>
      <c r="D49" s="1367" t="s">
        <v>680</v>
      </c>
      <c r="E49" s="2276"/>
      <c r="F49" s="2276"/>
      <c r="G49" s="2276"/>
      <c r="H49" s="2276"/>
      <c r="I49" s="2303"/>
      <c r="J49" s="2273"/>
      <c r="K49" s="1367"/>
      <c r="L49" s="1368"/>
      <c r="P49" s="2274"/>
      <c r="Q49" s="2274"/>
      <c r="R49" s="360"/>
      <c r="S49" s="1282"/>
      <c r="T49" s="291" t="s">
        <v>624</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625</v>
      </c>
      <c r="AU49" s="504"/>
      <c r="AV49" s="504" t="str">
        <f>IF(T49="","",T49)</f>
        <v>Добавить значение признака дифференциации</v>
      </c>
      <c r="AW49" s="504"/>
      <c r="AX49" s="504"/>
      <c r="AY49" s="1159">
        <v>20</v>
      </c>
    </row>
    <row customHeight="1" ht="22.049999999999997">
      <c r="A50" s="1367" t="s">
        <v>389</v>
      </c>
      <c r="B50" s="1367" t="s">
        <v>390</v>
      </c>
      <c r="C50" s="1367" t="s">
        <v>391</v>
      </c>
      <c r="D50" s="1367" t="s">
        <v>680</v>
      </c>
      <c r="E50" s="2276"/>
      <c r="F50" s="2276"/>
      <c r="G50" s="2276"/>
      <c r="H50" s="2276"/>
      <c r="I50" s="2273"/>
      <c r="J50" s="1367"/>
      <c r="K50" s="1367"/>
      <c r="L50" s="1368"/>
      <c r="P50" s="2274"/>
      <c r="Q50" s="1485"/>
      <c r="R50" s="360"/>
      <c r="S50" s="1282"/>
      <c r="T50" s="369" t="s">
        <v>550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389</v>
      </c>
      <c r="B51" s="1367" t="s">
        <v>390</v>
      </c>
      <c r="C51" s="1367" t="s">
        <v>391</v>
      </c>
      <c r="D51" s="1367" t="s">
        <v>680</v>
      </c>
      <c r="E51" s="2276"/>
      <c r="F51" s="2276"/>
      <c r="G51" s="2276"/>
      <c r="H51" s="2275"/>
      <c r="I51" s="1367"/>
      <c r="J51" s="1367"/>
      <c r="K51" s="1367"/>
      <c r="L51" s="1368"/>
      <c r="M51" s="1369"/>
      <c r="N51" s="1369"/>
      <c r="O51" s="541"/>
      <c r="P51" s="364"/>
      <c r="Q51" s="379"/>
      <c r="R51" s="359"/>
      <c r="S51" s="1282"/>
      <c r="T51" s="376" t="s">
        <v>626</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389</v>
      </c>
      <c r="B52" s="1347" t="s">
        <v>390</v>
      </c>
      <c r="C52" s="1318"/>
      <c r="D52" s="1318"/>
      <c r="E52" s="2276"/>
      <c r="F52" s="2275"/>
      <c r="G52" s="1318"/>
      <c r="H52" s="1318"/>
      <c r="I52" s="1318"/>
      <c r="J52" s="1318"/>
      <c r="K52" s="1318"/>
      <c r="L52" s="1498"/>
      <c r="M52" s="1325"/>
      <c r="N52" s="1325"/>
      <c r="P52" s="1320"/>
      <c r="Q52" s="1321"/>
      <c r="R52" s="1320"/>
      <c r="S52" s="1326"/>
      <c r="T52" s="1329" t="s">
        <v>553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389</v>
      </c>
      <c r="B53" s="1347"/>
      <c r="C53" s="1347"/>
      <c r="D53" s="1347"/>
      <c r="E53" s="2275"/>
      <c r="F53" s="1347"/>
      <c r="G53" s="1347"/>
      <c r="H53" s="1347"/>
      <c r="I53" s="1347"/>
      <c r="J53" s="1347"/>
      <c r="K53" s="1347"/>
      <c r="L53" s="1350"/>
      <c r="M53" s="1325"/>
      <c r="N53" s="1325"/>
      <c r="O53" s="522"/>
      <c r="P53" s="384"/>
      <c r="Q53" s="1348"/>
      <c r="R53" s="384"/>
      <c r="S53" s="1326"/>
      <c r="T53" s="1329" t="s">
        <v>554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586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C595C-56B8-EEC7-3B96-2F7AE51055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267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535</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536</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668</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669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621</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622</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544</v>
      </c>
      <c r="P6" s="2274"/>
      <c r="Q6" s="2274">
        <v>1</v>
      </c>
      <c r="R6" s="361"/>
      <c r="S6" s="1497">
        <f>$J6</f>
      </c>
      <c r="T6" s="290" t="s">
        <v>545</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623</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64</v>
      </c>
      <c r="AE7" s="2282"/>
      <c r="AF7" s="2124" t="s">
        <v>64</v>
      </c>
      <c r="AG7" s="755"/>
      <c r="AH7" s="755"/>
      <c r="AI7" s="755"/>
      <c r="AJ7" s="755"/>
      <c r="AK7" s="755"/>
      <c r="AL7" s="755"/>
      <c r="AM7" s="1261"/>
      <c r="AN7" s="2282"/>
      <c r="AO7" s="2124" t="s">
        <v>64</v>
      </c>
      <c r="AP7" s="2304"/>
      <c r="AQ7" s="2124" t="s">
        <v>64</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624</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625</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550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626</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553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554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64</v>
      </c>
      <c r="AP15" s="2284"/>
      <c r="AQ15" s="2285" t="s">
        <v>64</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555</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556</v>
      </c>
      <c r="P20" s="1366"/>
      <c r="Q20" s="1446"/>
      <c r="R20" s="1446"/>
      <c r="S20" s="733"/>
      <c r="T20" s="1164" t="s">
        <v>557</v>
      </c>
      <c r="W20" s="1370"/>
      <c r="X20" s="1370"/>
      <c r="Y20" s="1370"/>
      <c r="Z20" s="1370"/>
      <c r="AA20" s="1370"/>
      <c r="AD20" s="190" t="s">
        <v>558</v>
      </c>
      <c r="AF20" s="190" t="s">
        <v>559</v>
      </c>
      <c r="AG20" s="1164" t="s">
        <v>557</v>
      </c>
      <c r="AH20" s="1370"/>
      <c r="AI20" s="1370"/>
      <c r="AJ20" s="1370"/>
      <c r="AK20" s="1370"/>
      <c r="AL20" s="1370"/>
      <c r="AO20" s="190" t="s">
        <v>560</v>
      </c>
      <c r="AQ20" s="190" t="s">
        <v>559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КГУП "Примтеплоэнерго"</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561</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562</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563</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564</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565</v>
      </c>
      <c r="AG34" s="330"/>
      <c r="AH34" s="1639"/>
      <c r="AI34" s="1639"/>
      <c r="AJ34" s="1639"/>
      <c r="AK34" s="1639"/>
      <c r="AL34" s="1639"/>
      <c r="AM34" s="330"/>
      <c r="AN34" s="330"/>
      <c r="AO34" s="330"/>
      <c r="AP34" s="330"/>
      <c r="AQ34" s="282" t="s">
        <v>565</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438</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439</v>
      </c>
      <c r="AY36" s="1159">
        <v>14</v>
      </c>
    </row>
    <row customHeight="1" ht="14.699999999999998">
      <c r="Q37" s="380"/>
      <c r="R37" s="380"/>
      <c r="S37" s="2290" t="s">
        <v>87</v>
      </c>
      <c r="T37" s="2226" t="s">
        <v>566</v>
      </c>
      <c r="U37" s="305"/>
      <c r="V37" s="2291" t="s">
        <v>567</v>
      </c>
      <c r="W37" s="2292"/>
      <c r="X37" s="2292"/>
      <c r="Y37" s="2292"/>
      <c r="Z37" s="2292"/>
      <c r="AA37" s="2292"/>
      <c r="AB37" s="2292"/>
      <c r="AC37" s="2292"/>
      <c r="AD37" s="2292"/>
      <c r="AE37" s="2293"/>
      <c r="AF37" s="2294" t="s">
        <v>568</v>
      </c>
      <c r="AG37" s="2291" t="s">
        <v>567</v>
      </c>
      <c r="AH37" s="2292"/>
      <c r="AI37" s="2292"/>
      <c r="AJ37" s="2292"/>
      <c r="AK37" s="2292"/>
      <c r="AL37" s="2292"/>
      <c r="AM37" s="2292"/>
      <c r="AN37" s="2292"/>
      <c r="AO37" s="2292"/>
      <c r="AP37" s="2293"/>
      <c r="AQ37" s="2294" t="s">
        <v>569</v>
      </c>
      <c r="AR37" s="2297" t="s">
        <v>570</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670</v>
      </c>
      <c r="W38" s="2382" t="s">
        <v>671</v>
      </c>
      <c r="X38" s="2382"/>
      <c r="Y38" s="2382"/>
      <c r="Z38" s="2382" t="s">
        <v>672</v>
      </c>
      <c r="AA38" s="2382"/>
      <c r="AB38" s="2382"/>
      <c r="AC38" s="2311" t="s">
        <v>574</v>
      </c>
      <c r="AD38" s="2330"/>
      <c r="AE38" s="2331"/>
      <c r="AF38" s="2295"/>
      <c r="AG38" s="2383" t="s">
        <v>670</v>
      </c>
      <c r="AH38" s="2382" t="s">
        <v>671</v>
      </c>
      <c r="AI38" s="2382"/>
      <c r="AJ38" s="2382"/>
      <c r="AK38" s="2382" t="s">
        <v>672</v>
      </c>
      <c r="AL38" s="2382"/>
      <c r="AM38" s="2382"/>
      <c r="AN38" s="2311" t="s">
        <v>574</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673</v>
      </c>
      <c r="X39" s="2382" t="s">
        <v>674</v>
      </c>
      <c r="Y39" s="2382"/>
      <c r="Z39" s="2382" t="s">
        <v>675</v>
      </c>
      <c r="AA39" s="2382" t="s">
        <v>674</v>
      </c>
      <c r="AB39" s="2382"/>
      <c r="AC39" s="2312"/>
      <c r="AD39" s="2332"/>
      <c r="AE39" s="2333"/>
      <c r="AF39" s="2295"/>
      <c r="AG39" s="2383"/>
      <c r="AH39" s="2382" t="s">
        <v>673</v>
      </c>
      <c r="AI39" s="2382" t="s">
        <v>674</v>
      </c>
      <c r="AJ39" s="2382"/>
      <c r="AK39" s="2382" t="s">
        <v>675</v>
      </c>
      <c r="AL39" s="2382" t="s">
        <v>674</v>
      </c>
      <c r="AM39" s="2382"/>
      <c r="AN39" s="2312"/>
      <c r="AO39" s="2332"/>
      <c r="AP39" s="2333"/>
      <c r="AQ39" s="2295"/>
      <c r="AR39" s="2298"/>
      <c r="AS39" s="2144"/>
      <c r="AY39" s="1159">
        <v>19</v>
      </c>
    </row>
    <row customHeight="1" ht="61.949999999999996">
      <c r="A40" s="1374"/>
      <c r="B40" s="1374" t="s">
        <v>279</v>
      </c>
      <c r="C40" s="1374" t="s">
        <v>280</v>
      </c>
      <c r="D40" s="1374" t="s">
        <v>281</v>
      </c>
      <c r="E40" s="1368" t="s">
        <v>575</v>
      </c>
      <c r="F40" s="1368" t="s">
        <v>576</v>
      </c>
      <c r="G40" s="1368" t="s">
        <v>577</v>
      </c>
      <c r="H40" s="1368"/>
      <c r="I40" s="1368" t="s">
        <v>628</v>
      </c>
      <c r="J40" s="1368" t="s">
        <v>580</v>
      </c>
      <c r="K40" s="1368" t="s">
        <v>629</v>
      </c>
      <c r="L40" s="1368" t="s">
        <v>556</v>
      </c>
      <c r="Q40" s="380"/>
      <c r="R40" s="380"/>
      <c r="S40" s="2290"/>
      <c r="T40" s="2226"/>
      <c r="U40" s="306"/>
      <c r="V40" s="2383"/>
      <c r="W40" s="2382"/>
      <c r="X40" s="1984" t="s">
        <v>676</v>
      </c>
      <c r="Y40" s="1984" t="s">
        <v>677</v>
      </c>
      <c r="Z40" s="2382"/>
      <c r="AA40" s="1984" t="s">
        <v>678</v>
      </c>
      <c r="AB40" s="1984" t="s">
        <v>679</v>
      </c>
      <c r="AC40" s="1493" t="s">
        <v>584</v>
      </c>
      <c r="AD40" s="2287" t="s">
        <v>585</v>
      </c>
      <c r="AE40" s="2288"/>
      <c r="AF40" s="2296"/>
      <c r="AG40" s="2383"/>
      <c r="AH40" s="2382"/>
      <c r="AI40" s="1984" t="s">
        <v>676</v>
      </c>
      <c r="AJ40" s="1984" t="s">
        <v>677</v>
      </c>
      <c r="AK40" s="2382"/>
      <c r="AL40" s="1984" t="s">
        <v>678</v>
      </c>
      <c r="AM40" s="1984" t="s">
        <v>679</v>
      </c>
      <c r="AN40" s="1493" t="s">
        <v>584</v>
      </c>
      <c r="AO40" s="2287" t="s">
        <v>585</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105</v>
      </c>
      <c r="T41" s="1259" t="s">
        <v>102</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394</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267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394</v>
      </c>
      <c r="B43" s="1367" t="s">
        <v>395</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535</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536</v>
      </c>
      <c r="AU43" s="504"/>
      <c r="AV43" s="504" t="str">
        <f>IF(T43="","",T43)</f>
        <v>Территория действия тарифа</v>
      </c>
      <c r="AW43" s="504"/>
      <c r="AX43" s="504"/>
      <c r="AY43" s="1159">
        <v>23</v>
      </c>
    </row>
    <row customHeight="1" ht="24">
      <c r="A44" s="1367" t="s">
        <v>394</v>
      </c>
      <c r="B44" s="1367" t="s">
        <v>395</v>
      </c>
      <c r="C44" s="1367" t="s">
        <v>396</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668</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669</v>
      </c>
      <c r="AU44" s="504"/>
      <c r="AV44" s="504" t="str">
        <f>IF(T44="","",T44)</f>
        <v>Наименование централизованной системы горячего водоснабжения</v>
      </c>
      <c r="AW44" s="504"/>
      <c r="AX44" s="504"/>
      <c r="AY44" s="1159">
        <v>23</v>
      </c>
    </row>
    <row customHeight="1" ht="24">
      <c r="A45" s="1367" t="s">
        <v>394</v>
      </c>
      <c r="B45" s="1367" t="s">
        <v>395</v>
      </c>
      <c r="C45" s="1367" t="s">
        <v>396</v>
      </c>
      <c r="D45" s="1367" t="s">
        <v>681</v>
      </c>
      <c r="E45" s="2276"/>
      <c r="F45" s="2276"/>
      <c r="G45" s="2276"/>
      <c r="H45" s="2276"/>
      <c r="I45" s="2273" t="str">
        <f>S44&amp;".1"</f>
        <v>...1</v>
      </c>
      <c r="J45" s="1367"/>
      <c r="K45" s="1367"/>
      <c r="L45" s="1368"/>
      <c r="P45" s="2274">
        <v>1</v>
      </c>
      <c r="Q45" s="1485"/>
      <c r="R45" s="360"/>
      <c r="S45" s="1497" t="str">
        <f>$I45</f>
        <v>...1</v>
      </c>
      <c r="T45" s="289" t="s">
        <v>621</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622</v>
      </c>
      <c r="AU45" s="504"/>
      <c r="AV45" s="504" t="str">
        <f>IF(T45="","",T45)</f>
        <v>Наименование признака дифференциации</v>
      </c>
      <c r="AW45" s="504"/>
      <c r="AX45" s="504"/>
      <c r="AY45" s="1159">
        <v>23</v>
      </c>
    </row>
    <row customHeight="1" ht="24">
      <c r="A46" s="1367" t="s">
        <v>394</v>
      </c>
      <c r="B46" s="1367" t="s">
        <v>395</v>
      </c>
      <c r="C46" s="1367" t="s">
        <v>396</v>
      </c>
      <c r="D46" s="1367" t="s">
        <v>681</v>
      </c>
      <c r="E46" s="2276"/>
      <c r="F46" s="2276"/>
      <c r="G46" s="2276"/>
      <c r="H46" s="2276"/>
      <c r="I46" s="2303"/>
      <c r="J46" s="2273" t="str">
        <f>I45&amp;".1"</f>
        <v>...1.1</v>
      </c>
      <c r="K46" s="1367"/>
      <c r="L46" s="1368" t="s">
        <v>544</v>
      </c>
      <c r="P46" s="2274"/>
      <c r="Q46" s="2274">
        <v>1</v>
      </c>
      <c r="R46" s="361"/>
      <c r="S46" s="1497" t="str">
        <f>$J46</f>
        <v>...1.1</v>
      </c>
      <c r="T46" s="290" t="s">
        <v>545</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623</v>
      </c>
      <c r="AU46" s="504"/>
      <c r="AV46" s="504" t="str">
        <f>IF(T46="","",T46)</f>
        <v>Группа потребителей</v>
      </c>
      <c r="AW46" s="504"/>
      <c r="AX46" s="504"/>
      <c r="AY46" s="1159">
        <v>23</v>
      </c>
    </row>
    <row customHeight="1" ht="24">
      <c r="A47" s="1367" t="s">
        <v>394</v>
      </c>
      <c r="B47" s="1367" t="s">
        <v>395</v>
      </c>
      <c r="C47" s="1367" t="s">
        <v>396</v>
      </c>
      <c r="D47" s="1367" t="s">
        <v>681</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64</v>
      </c>
      <c r="AE47" s="2284"/>
      <c r="AF47" s="2285" t="s">
        <v>64</v>
      </c>
      <c r="AG47" s="755"/>
      <c r="AH47" s="755"/>
      <c r="AI47" s="755"/>
      <c r="AJ47" s="755"/>
      <c r="AK47" s="755"/>
      <c r="AL47" s="755"/>
      <c r="AM47" s="1261"/>
      <c r="AN47" s="2282"/>
      <c r="AO47" s="2124" t="s">
        <v>64</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394</v>
      </c>
      <c r="B48" s="1367" t="s">
        <v>395</v>
      </c>
      <c r="C48" s="1367" t="s">
        <v>396</v>
      </c>
      <c r="D48" s="1367" t="s">
        <v>681</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394</v>
      </c>
      <c r="B49" s="1367" t="s">
        <v>395</v>
      </c>
      <c r="C49" s="1367" t="s">
        <v>396</v>
      </c>
      <c r="D49" s="1367" t="s">
        <v>681</v>
      </c>
      <c r="E49" s="2276"/>
      <c r="F49" s="2276"/>
      <c r="G49" s="2276"/>
      <c r="H49" s="2276"/>
      <c r="I49" s="2303"/>
      <c r="J49" s="2273"/>
      <c r="K49" s="1367"/>
      <c r="L49" s="1368"/>
      <c r="P49" s="2274"/>
      <c r="Q49" s="2274"/>
      <c r="R49" s="360"/>
      <c r="S49" s="1282"/>
      <c r="T49" s="291" t="s">
        <v>624</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625</v>
      </c>
      <c r="AU49" s="504"/>
      <c r="AV49" s="504" t="str">
        <f>IF(T49="","",T49)</f>
        <v>Добавить значение признака дифференциации</v>
      </c>
      <c r="AW49" s="504"/>
      <c r="AX49" s="504"/>
      <c r="AY49" s="1159">
        <v>20</v>
      </c>
    </row>
    <row customHeight="1" ht="22.049999999999997">
      <c r="A50" s="1367" t="s">
        <v>394</v>
      </c>
      <c r="B50" s="1367" t="s">
        <v>395</v>
      </c>
      <c r="C50" s="1367" t="s">
        <v>396</v>
      </c>
      <c r="D50" s="1367" t="s">
        <v>681</v>
      </c>
      <c r="E50" s="2276"/>
      <c r="F50" s="2276"/>
      <c r="G50" s="2276"/>
      <c r="H50" s="2276"/>
      <c r="I50" s="2273"/>
      <c r="J50" s="1367"/>
      <c r="K50" s="1367"/>
      <c r="L50" s="1368"/>
      <c r="P50" s="2274"/>
      <c r="Q50" s="1485"/>
      <c r="R50" s="360"/>
      <c r="S50" s="1282"/>
      <c r="T50" s="369" t="s">
        <v>550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394</v>
      </c>
      <c r="B51" s="1367" t="s">
        <v>395</v>
      </c>
      <c r="C51" s="1367" t="s">
        <v>396</v>
      </c>
      <c r="D51" s="1367" t="s">
        <v>681</v>
      </c>
      <c r="E51" s="2276"/>
      <c r="F51" s="2276"/>
      <c r="G51" s="2276"/>
      <c r="H51" s="2275"/>
      <c r="I51" s="1367"/>
      <c r="J51" s="1367"/>
      <c r="K51" s="1367"/>
      <c r="L51" s="1368"/>
      <c r="M51" s="1369"/>
      <c r="N51" s="1369"/>
      <c r="O51" s="541"/>
      <c r="P51" s="364"/>
      <c r="Q51" s="379"/>
      <c r="R51" s="359"/>
      <c r="S51" s="1282"/>
      <c r="T51" s="376" t="s">
        <v>626</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394</v>
      </c>
      <c r="B52" s="1347" t="s">
        <v>395</v>
      </c>
      <c r="C52" s="1318"/>
      <c r="D52" s="1318"/>
      <c r="E52" s="2276"/>
      <c r="F52" s="2275"/>
      <c r="G52" s="1318"/>
      <c r="H52" s="1318"/>
      <c r="I52" s="1318"/>
      <c r="J52" s="1318"/>
      <c r="K52" s="1318"/>
      <c r="L52" s="1498"/>
      <c r="M52" s="1325"/>
      <c r="N52" s="1325"/>
      <c r="P52" s="1320"/>
      <c r="Q52" s="1321"/>
      <c r="R52" s="1320"/>
      <c r="S52" s="1326"/>
      <c r="T52" s="1329" t="s">
        <v>553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394</v>
      </c>
      <c r="B53" s="1347"/>
      <c r="C53" s="1347"/>
      <c r="D53" s="1347"/>
      <c r="E53" s="2275"/>
      <c r="F53" s="1347"/>
      <c r="G53" s="1347"/>
      <c r="H53" s="1347"/>
      <c r="I53" s="1347"/>
      <c r="J53" s="1347"/>
      <c r="K53" s="1347"/>
      <c r="L53" s="1350"/>
      <c r="M53" s="1325"/>
      <c r="N53" s="1325"/>
      <c r="O53" s="522"/>
      <c r="P53" s="384"/>
      <c r="Q53" s="1348"/>
      <c r="R53" s="384"/>
      <c r="S53" s="1326"/>
      <c r="T53" s="1329" t="s">
        <v>554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586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AD8A8-5E68-07B8-FFF8-3AC6B039C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267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535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536</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668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669</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540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541</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64</v>
      </c>
      <c r="AB8" s="1737"/>
      <c r="AC8" s="1473" t="s">
        <v>64</v>
      </c>
      <c r="AD8" s="2202" t="s">
        <v>64</v>
      </c>
      <c r="AE8" s="2343"/>
      <c r="AF8" s="2222">
        <v>1</v>
      </c>
      <c r="AG8" s="2380"/>
      <c r="AH8" s="2124" t="s">
        <v>64</v>
      </c>
      <c r="AI8" s="2343"/>
      <c r="AJ8" s="2222">
        <v>1</v>
      </c>
      <c r="AK8" s="2344" t="s">
        <v>22</v>
      </c>
      <c r="AL8" s="2124" t="s">
        <v>64</v>
      </c>
      <c r="AM8" s="2209"/>
      <c r="AN8" s="2222">
        <v>1</v>
      </c>
      <c r="AO8" s="2374"/>
      <c r="AP8" s="2375" t="s">
        <v>64</v>
      </c>
      <c r="AQ8" s="315"/>
      <c r="AR8" s="1490">
        <v>1</v>
      </c>
      <c r="AS8" s="1496" t="s">
        <v>22</v>
      </c>
      <c r="AT8" s="755"/>
      <c r="AU8" s="1261"/>
      <c r="AV8" s="755"/>
      <c r="AW8" s="1261"/>
      <c r="AX8" s="1737"/>
      <c r="AY8" s="1473" t="s">
        <v>64</v>
      </c>
      <c r="AZ8" s="1737"/>
      <c r="BA8" s="1473" t="s">
        <v>64</v>
      </c>
      <c r="BB8" s="1352"/>
      <c r="BC8" s="2270" t="s">
        <v>639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640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641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642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643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606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553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554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64</v>
      </c>
      <c r="AZ20" s="1739"/>
      <c r="BA20" s="1489" t="s">
        <v>64</v>
      </c>
      <c r="BI20" s="1159">
        <v>0</v>
      </c>
    </row>
    <row customHeight="1" ht="14.25" hidden="1">
      <c r="BD21" s="500"/>
      <c r="BE21" s="500"/>
      <c r="BF21" s="500"/>
      <c r="BG21" s="500"/>
      <c r="BH21" s="500"/>
      <c r="BI21" s="1159">
        <v>0</v>
      </c>
    </row>
    <row customHeight="1" ht="14.25" hidden="1">
      <c r="O22" s="1371" t="s">
        <v>555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556</v>
      </c>
      <c r="P24" s="1512"/>
      <c r="Q24" s="1514"/>
      <c r="R24" s="1514"/>
      <c r="AA24" s="1511" t="s">
        <v>558</v>
      </c>
      <c r="AC24" s="1511" t="s">
        <v>559</v>
      </c>
      <c r="AD24" s="1511" t="s">
        <v>607</v>
      </c>
      <c r="AH24" s="1511" t="s">
        <v>607</v>
      </c>
      <c r="AK24" s="1511" t="s">
        <v>644</v>
      </c>
      <c r="AL24" s="1511" t="s">
        <v>607</v>
      </c>
      <c r="AP24" s="1511" t="s">
        <v>607</v>
      </c>
      <c r="AY24" s="1511" t="s">
        <v>558</v>
      </c>
      <c r="BA24" s="1511" t="s">
        <v>559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КГУП "Примтеплоэнерго"</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561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562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561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562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565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565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438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439</v>
      </c>
      <c r="BI40" s="1159">
        <v>14</v>
      </c>
    </row>
    <row customHeight="1" ht="14.699999999999998">
      <c r="Q41" s="295"/>
      <c r="R41" s="380"/>
      <c r="S41" s="2290" t="s">
        <v>87</v>
      </c>
      <c r="T41" s="2226" t="s">
        <v>645</v>
      </c>
      <c r="U41" s="305"/>
      <c r="V41" s="2291" t="s">
        <v>567</v>
      </c>
      <c r="W41" s="2292"/>
      <c r="X41" s="2292"/>
      <c r="Y41" s="2292"/>
      <c r="Z41" s="2292"/>
      <c r="AA41" s="2292"/>
      <c r="AB41" s="2293"/>
      <c r="AC41" s="2294" t="s">
        <v>568</v>
      </c>
      <c r="AD41" s="2345" t="s">
        <v>646</v>
      </c>
      <c r="AE41" s="2308"/>
      <c r="AF41" s="2308"/>
      <c r="AG41" s="2346"/>
      <c r="AH41" s="2345" t="s">
        <v>647</v>
      </c>
      <c r="AI41" s="2308"/>
      <c r="AJ41" s="2308"/>
      <c r="AK41" s="2346"/>
      <c r="AL41" s="2345" t="s">
        <v>648</v>
      </c>
      <c r="AM41" s="2308"/>
      <c r="AN41" s="2308"/>
      <c r="AO41" s="2346"/>
      <c r="AP41" s="2345" t="s">
        <v>649</v>
      </c>
      <c r="AQ41" s="2308"/>
      <c r="AR41" s="2308"/>
      <c r="AS41" s="2346"/>
      <c r="AT41" s="2291" t="s">
        <v>567</v>
      </c>
      <c r="AU41" s="2292"/>
      <c r="AV41" s="2292"/>
      <c r="AW41" s="2292"/>
      <c r="AX41" s="2292"/>
      <c r="AY41" s="2292"/>
      <c r="AZ41" s="2293"/>
      <c r="BA41" s="2294" t="s">
        <v>568</v>
      </c>
      <c r="BB41" s="2297" t="s">
        <v>570</v>
      </c>
      <c r="BC41" s="2144"/>
      <c r="BI41" s="1159">
        <v>14</v>
      </c>
    </row>
    <row customHeight="1" ht="35.699999999999996">
      <c r="Q42" s="295"/>
      <c r="R42" s="380"/>
      <c r="S42" s="2290"/>
      <c r="T42" s="2226"/>
      <c r="U42" s="1035"/>
      <c r="V42" s="2209" t="s">
        <v>650</v>
      </c>
      <c r="W42" s="2210"/>
      <c r="X42" s="2209" t="s">
        <v>651</v>
      </c>
      <c r="Y42" s="2210"/>
      <c r="Z42" s="2311" t="s">
        <v>652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650</v>
      </c>
      <c r="AU42" s="2210"/>
      <c r="AV42" s="2209" t="s">
        <v>651</v>
      </c>
      <c r="AW42" s="2210"/>
      <c r="AX42" s="2311" t="s">
        <v>652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279</v>
      </c>
      <c r="C44" s="1374" t="s">
        <v>280</v>
      </c>
      <c r="D44" s="1374" t="s">
        <v>281</v>
      </c>
      <c r="E44" s="1368" t="s">
        <v>575</v>
      </c>
      <c r="F44" s="1368" t="s">
        <v>576</v>
      </c>
      <c r="G44" s="1368" t="s">
        <v>577</v>
      </c>
      <c r="H44" s="1368" t="s">
        <v>578</v>
      </c>
      <c r="I44" s="1368" t="s">
        <v>579</v>
      </c>
      <c r="J44" s="1368" t="s">
        <v>580</v>
      </c>
      <c r="K44" s="1368" t="s">
        <v>581</v>
      </c>
      <c r="L44" s="1368" t="s">
        <v>556</v>
      </c>
      <c r="Q44" s="295"/>
      <c r="R44" s="380"/>
      <c r="S44" s="2290"/>
      <c r="T44" s="2226"/>
      <c r="U44" s="306"/>
      <c r="V44" s="1483" t="s">
        <v>616</v>
      </c>
      <c r="W44" s="1483" t="s">
        <v>617</v>
      </c>
      <c r="X44" s="1483" t="s">
        <v>616</v>
      </c>
      <c r="Y44" s="1483" t="s">
        <v>617</v>
      </c>
      <c r="Z44" s="1493" t="s">
        <v>584</v>
      </c>
      <c r="AA44" s="2287" t="s">
        <v>585</v>
      </c>
      <c r="AB44" s="2288"/>
      <c r="AC44" s="2296"/>
      <c r="AD44" s="2350"/>
      <c r="AE44" s="2351"/>
      <c r="AF44" s="2351"/>
      <c r="AG44" s="2352"/>
      <c r="AH44" s="2350"/>
      <c r="AI44" s="2351"/>
      <c r="AJ44" s="2351"/>
      <c r="AK44" s="2352"/>
      <c r="AL44" s="2350"/>
      <c r="AM44" s="2351"/>
      <c r="AN44" s="2351"/>
      <c r="AO44" s="2352"/>
      <c r="AP44" s="2350"/>
      <c r="AQ44" s="2351"/>
      <c r="AR44" s="2351"/>
      <c r="AS44" s="2352"/>
      <c r="AT44" s="1483" t="s">
        <v>616</v>
      </c>
      <c r="AU44" s="1483" t="s">
        <v>617</v>
      </c>
      <c r="AV44" s="1483" t="s">
        <v>616</v>
      </c>
      <c r="AW44" s="1483" t="s">
        <v>617</v>
      </c>
      <c r="AX44" s="1493" t="s">
        <v>584</v>
      </c>
      <c r="AY44" s="2287" t="s">
        <v>585</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105</v>
      </c>
      <c r="T45" s="1259" t="s">
        <v>102</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399</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267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399</v>
      </c>
      <c r="B47" s="1367" t="s">
        <v>400</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535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536</v>
      </c>
      <c r="BE47" s="504"/>
      <c r="BF47" s="504" t="str">
        <f>IF(T47="","",T47)</f>
        <v>Территория действия тарифа</v>
      </c>
      <c r="BG47" s="504"/>
      <c r="BH47" s="504"/>
      <c r="BI47" s="1159">
        <v>21</v>
      </c>
    </row>
    <row customHeight="1" ht="35.699999999999996">
      <c r="A48" s="1367" t="s">
        <v>399</v>
      </c>
      <c r="B48" s="1367" t="s">
        <v>400</v>
      </c>
      <c r="C48" s="1367" t="s">
        <v>401</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668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669</v>
      </c>
      <c r="BE48" s="504"/>
      <c r="BF48" s="504" t="str">
        <f>IF(T48="","",T48)</f>
        <v>Наименование централизованной системы горячего водоснабжения</v>
      </c>
      <c r="BG48" s="504"/>
      <c r="BH48" s="504"/>
      <c r="BI48" s="1159">
        <v>34</v>
      </c>
    </row>
    <row s="1646" customFormat="1" customHeight="1" ht="0">
      <c r="A49" s="1347" t="s">
        <v>399</v>
      </c>
      <c r="B49" s="1347" t="s">
        <v>400</v>
      </c>
      <c r="C49" s="1347" t="s">
        <v>401</v>
      </c>
      <c r="D49" s="1347" t="s">
        <v>682</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540</v>
      </c>
      <c r="BE49" s="504"/>
      <c r="BF49" s="504" t="str">
        <f>IF(T49="","",T49)</f>
        <v/>
      </c>
      <c r="BG49" s="504"/>
      <c r="BH49" s="504"/>
      <c r="BI49" s="515">
        <v>0</v>
      </c>
    </row>
    <row s="1646" customFormat="1" customHeight="1" ht="0">
      <c r="A50" s="1347" t="s">
        <v>399</v>
      </c>
      <c r="B50" s="1347" t="s">
        <v>400</v>
      </c>
      <c r="C50" s="1347" t="s">
        <v>401</v>
      </c>
      <c r="D50" s="1347" t="s">
        <v>682</v>
      </c>
      <c r="E50" s="2276"/>
      <c r="F50" s="2276"/>
      <c r="G50" s="2276"/>
      <c r="H50" s="2276"/>
      <c r="I50" s="2273" t="str">
        <f>S49&amp;".1"</f>
        <v>.1</v>
      </c>
      <c r="J50" s="1347"/>
      <c r="K50" s="1347"/>
      <c r="L50" s="1350" t="s">
        <v>541</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399</v>
      </c>
      <c r="B51" s="1347" t="s">
        <v>400</v>
      </c>
      <c r="C51" s="1347" t="s">
        <v>401</v>
      </c>
      <c r="D51" s="1347" t="s">
        <v>682</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399</v>
      </c>
      <c r="B52" s="1367" t="s">
        <v>400</v>
      </c>
      <c r="C52" s="1367" t="s">
        <v>401</v>
      </c>
      <c r="D52" s="1367" t="s">
        <v>682</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64</v>
      </c>
      <c r="AB52" s="1737"/>
      <c r="AC52" s="1473" t="s">
        <v>64</v>
      </c>
      <c r="AD52" s="2202" t="s">
        <v>64</v>
      </c>
      <c r="AE52" s="2343"/>
      <c r="AF52" s="2222">
        <v>1</v>
      </c>
      <c r="AG52" s="2380"/>
      <c r="AH52" s="2124" t="s">
        <v>64</v>
      </c>
      <c r="AI52" s="2343"/>
      <c r="AJ52" s="2222">
        <v>1</v>
      </c>
      <c r="AK52" s="2344" t="s">
        <v>22</v>
      </c>
      <c r="AL52" s="2124" t="s">
        <v>64</v>
      </c>
      <c r="AM52" s="2209"/>
      <c r="AN52" s="2222">
        <v>1</v>
      </c>
      <c r="AO52" s="2374"/>
      <c r="AP52" s="2375" t="s">
        <v>64</v>
      </c>
      <c r="AQ52" s="315"/>
      <c r="AR52" s="1490">
        <v>1</v>
      </c>
      <c r="AS52" s="1496" t="s">
        <v>22</v>
      </c>
      <c r="AT52" s="755"/>
      <c r="AU52" s="1261"/>
      <c r="AV52" s="755"/>
      <c r="AW52" s="1261"/>
      <c r="AX52" s="1737"/>
      <c r="AY52" s="1473" t="s">
        <v>64</v>
      </c>
      <c r="AZ52" s="1737"/>
      <c r="BA52" s="1473" t="s">
        <v>64</v>
      </c>
      <c r="BB52" s="1352"/>
      <c r="BC52" s="2270" t="s">
        <v>639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640</v>
      </c>
      <c r="AT53" s="1397"/>
      <c r="AU53" s="1500"/>
      <c r="AV53" s="1397"/>
      <c r="AW53" s="1500"/>
      <c r="AX53" s="1397"/>
      <c r="AY53" s="1397"/>
      <c r="AZ53" s="1397"/>
      <c r="BA53" s="1397"/>
      <c r="BB53" s="1401"/>
      <c r="BC53" s="2271"/>
      <c r="BE53" s="504"/>
      <c r="BF53" s="504"/>
      <c r="BG53" s="504"/>
      <c r="BH53" s="504"/>
      <c r="BI53" s="1159">
        <v>11</v>
      </c>
    </row>
    <row customHeight="1" ht="11.549999999999999">
      <c r="A54" s="1367" t="s">
        <v>399</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641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399</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642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399</v>
      </c>
      <c r="B56" s="1367" t="s">
        <v>400</v>
      </c>
      <c r="C56" s="1367" t="s">
        <v>401</v>
      </c>
      <c r="D56" s="1367" t="s">
        <v>682</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643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399</v>
      </c>
      <c r="B57" s="1367" t="s">
        <v>400</v>
      </c>
      <c r="C57" s="1367" t="s">
        <v>401</v>
      </c>
      <c r="D57" s="1367" t="s">
        <v>682</v>
      </c>
      <c r="E57" s="2276"/>
      <c r="F57" s="2276"/>
      <c r="G57" s="2276"/>
      <c r="H57" s="2276"/>
      <c r="I57" s="2303"/>
      <c r="J57" s="2273"/>
      <c r="K57" s="1367"/>
      <c r="L57" s="1368"/>
      <c r="P57" s="2274"/>
      <c r="Q57" s="2274"/>
      <c r="R57" s="360"/>
      <c r="S57" s="1282"/>
      <c r="T57" s="291" t="s">
        <v>606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399</v>
      </c>
      <c r="B58" s="1347" t="s">
        <v>400</v>
      </c>
      <c r="C58" s="1347" t="s">
        <v>401</v>
      </c>
      <c r="D58" s="1347" t="s">
        <v>682</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399</v>
      </c>
      <c r="B59" s="1347" t="s">
        <v>400</v>
      </c>
      <c r="C59" s="1347" t="s">
        <v>401</v>
      </c>
      <c r="D59" s="1347" t="s">
        <v>682</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399</v>
      </c>
      <c r="B60" s="1347" t="s">
        <v>400</v>
      </c>
      <c r="C60" s="1347" t="s">
        <v>401</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399</v>
      </c>
      <c r="B61" s="1347" t="s">
        <v>400</v>
      </c>
      <c r="C61" s="1318"/>
      <c r="D61" s="1318"/>
      <c r="E61" s="2276"/>
      <c r="F61" s="2275"/>
      <c r="G61" s="1318"/>
      <c r="H61" s="1318"/>
      <c r="I61" s="1318"/>
      <c r="J61" s="1318"/>
      <c r="K61" s="1318"/>
      <c r="L61" s="1498"/>
      <c r="M61" s="1325"/>
      <c r="N61" s="1325"/>
      <c r="P61" s="1320"/>
      <c r="Q61" s="1321"/>
      <c r="R61" s="1320"/>
      <c r="S61" s="1326"/>
      <c r="T61" s="1329" t="s">
        <v>553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399</v>
      </c>
      <c r="B62" s="1347"/>
      <c r="C62" s="1347"/>
      <c r="D62" s="1347"/>
      <c r="E62" s="2275"/>
      <c r="F62" s="1347"/>
      <c r="G62" s="1347"/>
      <c r="H62" s="1347"/>
      <c r="I62" s="1347"/>
      <c r="J62" s="1347"/>
      <c r="K62" s="1347"/>
      <c r="L62" s="1350"/>
      <c r="M62" s="1325"/>
      <c r="N62" s="1325"/>
      <c r="O62" s="522"/>
      <c r="P62" s="384"/>
      <c r="Q62" s="1348"/>
      <c r="R62" s="384"/>
      <c r="S62" s="1326"/>
      <c r="T62" s="1329" t="s">
        <v>554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586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DA4E8-0038-9CB8-AE74-7A33D3F2E9C2}" mc:Ignorable="x14ac xr xr2 xr3">
  <sheetPr>
    <tabColor theme="9" tint="-0.25"/>
  </sheetPr>
  <dimension ref="A1:BR309"/>
  <sheetViews>
    <sheetView showGridLines="0" zoomScale="90" workbookViewId="0" tabSelected="1">
      <pane xSplit="8" ySplit="29" topLeftCell="K91" activePane="bottomRight" state="frozen"/>
      <selection pane="bottomLeft" activeCell="A30" sqref="A30"/>
      <selection pane="topRight" activeCell="I1" sqref="I1"/>
      <selection pane="bottomRight" activeCell="K96" sqref="K96"/>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47" style="1639" width="40.7109375" customWidth="1"/>
    <col min="48" max="48" style="1639" width="102.00390625" customWidth="1"/>
    <col min="49" max="49" style="1370" width="9.00390625" customWidth="1"/>
    <col min="50" max="50" style="1646" width="5.00390625" customWidth="1"/>
    <col min="51" max="51" style="1646" width="3.00390625" customWidth="1"/>
    <col min="52" max="55" style="1370" width="3.00390625" customWidth="1"/>
    <col min="56" max="56" style="1646" width="10.00390625" customWidth="1"/>
    <col min="57" max="57" style="1370" width="34.00390625" customWidth="1"/>
    <col min="58" max="58" style="1370" width="9.00390625" customWidth="1"/>
    <col min="59" max="59" style="740" width="8.00390625" customWidth="1"/>
    <col min="60" max="64" style="1370" width="8.00390625" customWidth="1"/>
    <col min="65" max="69" style="1636" width="8.00390625" customWidth="1"/>
    <col min="70" max="70" style="1639" width="9.140625" hidden="1"/>
  </cols>
  <sheetData>
    <row customHeight="1" ht="22.5" hidden="1">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BR1" s="1635" t="s">
        <v>14</v>
      </c>
    </row>
    <row customHeight="1" ht="23.25" hidden="1">
      <c r="B2" s="2116"/>
      <c r="C2" s="1171" t="s">
        <v>683</v>
      </c>
      <c r="D2" s="1642"/>
      <c r="E2" s="550">
        <f>B2</f>
        <v>0</v>
      </c>
      <c r="F2" s="551"/>
      <c r="G2" s="1650" t="s">
        <v>684</v>
      </c>
      <c r="H2" s="1650" t="s">
        <v>684</v>
      </c>
      <c r="I2" s="1650" t="s">
        <v>684</v>
      </c>
      <c r="J2" s="2383" t="s">
        <v>684</v>
      </c>
      <c r="K2" s="2383" t="s">
        <v>684</v>
      </c>
      <c r="L2" s="2383" t="s">
        <v>684</v>
      </c>
      <c r="M2" s="2383" t="s">
        <v>684</v>
      </c>
      <c r="N2" s="2383" t="s">
        <v>684</v>
      </c>
      <c r="O2" s="2383" t="s">
        <v>684</v>
      </c>
      <c r="P2" s="2383" t="s">
        <v>684</v>
      </c>
      <c r="Q2" s="2383" t="s">
        <v>684</v>
      </c>
      <c r="R2" s="2383" t="s">
        <v>684</v>
      </c>
      <c r="S2" s="2383" t="s">
        <v>684</v>
      </c>
      <c r="T2" s="2383" t="s">
        <v>684</v>
      </c>
      <c r="U2" s="2383" t="s">
        <v>684</v>
      </c>
      <c r="V2" s="2383" t="s">
        <v>684</v>
      </c>
      <c r="W2" s="2383" t="s">
        <v>684</v>
      </c>
      <c r="X2" s="2383" t="s">
        <v>684</v>
      </c>
      <c r="Y2" s="2383" t="s">
        <v>684</v>
      </c>
      <c r="Z2" s="2383" t="s">
        <v>684</v>
      </c>
      <c r="AA2" s="2383" t="s">
        <v>684</v>
      </c>
      <c r="AB2" s="2383" t="s">
        <v>684</v>
      </c>
      <c r="AC2" s="2383" t="s">
        <v>684</v>
      </c>
      <c r="AD2" s="2383" t="s">
        <v>684</v>
      </c>
      <c r="AE2" s="2383" t="s">
        <v>684</v>
      </c>
      <c r="AF2" s="2383" t="s">
        <v>684</v>
      </c>
      <c r="AG2" s="2383" t="s">
        <v>684</v>
      </c>
      <c r="AH2" s="2383" t="s">
        <v>684</v>
      </c>
      <c r="AI2" s="2383" t="s">
        <v>684</v>
      </c>
      <c r="AJ2" s="2383" t="s">
        <v>684</v>
      </c>
      <c r="AK2" s="2383" t="s">
        <v>684</v>
      </c>
      <c r="AL2" s="2383" t="s">
        <v>684</v>
      </c>
      <c r="AM2" s="2383" t="s">
        <v>684</v>
      </c>
      <c r="AN2" s="2383" t="s">
        <v>684</v>
      </c>
      <c r="AO2" s="2383" t="s">
        <v>684</v>
      </c>
      <c r="AP2" s="2383" t="s">
        <v>684</v>
      </c>
      <c r="AQ2" s="2383" t="s">
        <v>684</v>
      </c>
      <c r="AR2" s="2383" t="s">
        <v>684</v>
      </c>
      <c r="AS2" s="2383" t="s">
        <v>684</v>
      </c>
      <c r="AT2" s="2383" t="s">
        <v>684</v>
      </c>
      <c r="AU2" s="2383" t="s">
        <v>684</v>
      </c>
      <c r="AV2" s="293" t="s">
        <v>685</v>
      </c>
      <c r="AW2" s="547"/>
      <c r="BR2" s="1635">
        <v>0</v>
      </c>
    </row>
    <row s="1646" customFormat="1" customHeight="1" ht="0.75" hidden="1">
      <c r="B3" s="2116"/>
      <c r="C3" s="1171"/>
      <c r="D3" s="552"/>
      <c r="E3" s="553"/>
      <c r="F3" s="554" t="s">
        <v>686</v>
      </c>
      <c r="G3" s="555"/>
      <c r="H3" s="1017">
        <f>H4*H5+H6</f>
        <v>0</v>
      </c>
      <c r="I3" s="555">
        <f>I4*I5+I6</f>
        <v>0</v>
      </c>
      <c r="J3" s="1377">
        <f>J4*J5+J6</f>
        <v>0</v>
      </c>
      <c r="K3" s="1377">
        <f>K4*K5+K6</f>
        <v>0</v>
      </c>
      <c r="L3" s="1377">
        <f>L4*L5+L6</f>
        <v>0</v>
      </c>
      <c r="M3" s="1377">
        <f>M4*M5+M6</f>
        <v>0</v>
      </c>
      <c r="N3" s="1377">
        <f>N4*N5+N6</f>
        <v>0</v>
      </c>
      <c r="O3" s="1377">
        <f>O4*O5+O6</f>
        <v>0</v>
      </c>
      <c r="P3" s="1377">
        <f>P4*P5+P6</f>
        <v>0</v>
      </c>
      <c r="Q3" s="1377">
        <f>Q4*Q5+Q6</f>
        <v>0</v>
      </c>
      <c r="R3" s="1377">
        <f>R4*R5+R6</f>
        <v>0</v>
      </c>
      <c r="S3" s="1377">
        <f>S4*S5+S6</f>
        <v>0</v>
      </c>
      <c r="T3" s="1377">
        <f>T4*T5+T6</f>
        <v>0</v>
      </c>
      <c r="U3" s="1377">
        <f>U4*U5+U6</f>
        <v>0</v>
      </c>
      <c r="V3" s="1377">
        <f>V4*V5+V6</f>
        <v>0</v>
      </c>
      <c r="W3" s="1377">
        <f>W4*W5+W6</f>
        <v>0</v>
      </c>
      <c r="X3" s="1377">
        <f>X4*X5+X6</f>
        <v>0</v>
      </c>
      <c r="Y3" s="1377">
        <f>Y4*Y5+Y6</f>
        <v>0</v>
      </c>
      <c r="Z3" s="1377">
        <f>Z4*Z5+Z6</f>
        <v>0</v>
      </c>
      <c r="AA3" s="1377">
        <f>AA4*AA5+AA6</f>
        <v>0</v>
      </c>
      <c r="AB3" s="1377">
        <f>AB4*AB5+AB6</f>
        <v>0</v>
      </c>
      <c r="AC3" s="1377">
        <f>AC4*AC5+AC6</f>
        <v>0</v>
      </c>
      <c r="AD3" s="1377">
        <f>AD4*AD5+AD6</f>
        <v>0</v>
      </c>
      <c r="AE3" s="1377">
        <f>AE4*AE5+AE6</f>
        <v>0</v>
      </c>
      <c r="AF3" s="1377">
        <f>AF4*AF5+AF6</f>
        <v>0</v>
      </c>
      <c r="AG3" s="1377">
        <f>AG4*AG5+AG6</f>
        <v>0</v>
      </c>
      <c r="AH3" s="1377">
        <f>AH4*AH5+AH6</f>
        <v>0</v>
      </c>
      <c r="AI3" s="1377">
        <f>AI4*AI5+AI6</f>
        <v>0</v>
      </c>
      <c r="AJ3" s="1377">
        <f>AJ4*AJ5+AJ6</f>
        <v>0</v>
      </c>
      <c r="AK3" s="1377">
        <f>AK4*AK5+AK6</f>
        <v>0</v>
      </c>
      <c r="AL3" s="1377">
        <f>AL4*AL5+AL6</f>
        <v>0</v>
      </c>
      <c r="AM3" s="1377">
        <f>AM4*AM5+AM6</f>
        <v>0</v>
      </c>
      <c r="AN3" s="1377">
        <f>AN4*AN5+AN6</f>
        <v>0</v>
      </c>
      <c r="AO3" s="1377">
        <f>AO4*AO5+AO6</f>
        <v>0</v>
      </c>
      <c r="AP3" s="1377">
        <f>AP4*AP5+AP6</f>
        <v>0</v>
      </c>
      <c r="AQ3" s="1377">
        <f>AQ4*AQ5+AQ6</f>
        <v>0</v>
      </c>
      <c r="AR3" s="1377">
        <f>AR4*AR5+AR6</f>
        <v>0</v>
      </c>
      <c r="AS3" s="1377">
        <f>AS4*AS5+AS6</f>
        <v>0</v>
      </c>
      <c r="AT3" s="1377">
        <f>AT4*AT5+AT6</f>
        <v>0</v>
      </c>
      <c r="AU3" s="1377">
        <f>AU4*AU5+AU6</f>
        <v>0</v>
      </c>
      <c r="AV3" s="556"/>
      <c r="BR3" s="1640">
        <v>0</v>
      </c>
    </row>
    <row customHeight="1" ht="23.25" hidden="1">
      <c r="B4" s="2116"/>
      <c r="C4" s="1171"/>
      <c r="D4" s="1642"/>
      <c r="E4" s="550" t="str">
        <f>B2&amp;".1"</f>
        <v>.1</v>
      </c>
      <c r="F4" s="557" t="s">
        <v>687</v>
      </c>
      <c r="G4" s="558"/>
      <c r="H4" s="545"/>
      <c r="I4" s="54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293" t="s">
        <v>688</v>
      </c>
      <c r="AW4" s="547"/>
      <c r="BR4" s="1635">
        <v>0</v>
      </c>
    </row>
    <row customHeight="1" ht="18.75" hidden="1">
      <c r="B5" s="2116"/>
      <c r="C5" s="1171"/>
      <c r="D5" s="1642"/>
      <c r="E5" s="550" t="str">
        <f>B2&amp;".2"</f>
        <v>.2</v>
      </c>
      <c r="F5" s="557" t="s">
        <v>689</v>
      </c>
      <c r="G5" s="1650" t="s">
        <v>690</v>
      </c>
      <c r="H5" s="545"/>
      <c r="I5" s="54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293"/>
      <c r="AW5" s="547"/>
      <c r="BR5" s="1635">
        <v>0</v>
      </c>
    </row>
    <row customHeight="1" ht="18.75" hidden="1">
      <c r="B6" s="2116"/>
      <c r="C6" s="1171"/>
      <c r="D6" s="1642"/>
      <c r="E6" s="550" t="str">
        <f>B2&amp;".3"</f>
        <v>.3</v>
      </c>
      <c r="F6" s="557" t="s">
        <v>691</v>
      </c>
      <c r="G6" s="1650" t="s">
        <v>690</v>
      </c>
      <c r="H6" s="545"/>
      <c r="I6" s="54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293"/>
      <c r="AW6" s="547"/>
      <c r="BR6" s="1635">
        <v>0</v>
      </c>
    </row>
    <row customHeight="1" ht="18.75" hidden="1">
      <c r="B7" s="2116"/>
      <c r="C7" s="1171"/>
      <c r="D7" s="1642"/>
      <c r="E7" s="550" t="str">
        <f>B2&amp;".4"</f>
        <v>.4</v>
      </c>
      <c r="F7" s="557" t="s">
        <v>692</v>
      </c>
      <c r="G7" s="1650" t="s">
        <v>684</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293"/>
      <c r="AW7" s="547"/>
      <c r="BR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X8" s="1370">
        <v>4</v>
      </c>
      <c r="Y8" s="1370">
        <v>4</v>
      </c>
      <c r="Z8" s="1370">
        <v>4</v>
      </c>
      <c r="AA8" s="1370">
        <v>4</v>
      </c>
      <c r="AB8" s="1370">
        <v>4</v>
      </c>
      <c r="AC8" s="1370">
        <v>4</v>
      </c>
      <c r="AD8" s="1370">
        <v>4</v>
      </c>
      <c r="AE8" s="1370">
        <v>4</v>
      </c>
      <c r="AF8" s="1370">
        <v>4</v>
      </c>
      <c r="AG8" s="1370">
        <v>4</v>
      </c>
      <c r="AH8" s="1370">
        <v>4</v>
      </c>
      <c r="AI8" s="1370">
        <v>4</v>
      </c>
      <c r="AJ8" s="1370">
        <v>4</v>
      </c>
      <c r="AK8" s="1370">
        <v>4</v>
      </c>
      <c r="AL8" s="1370">
        <v>4</v>
      </c>
      <c r="AM8" s="1370">
        <v>4</v>
      </c>
      <c r="AN8" s="1370">
        <v>4</v>
      </c>
      <c r="AO8" s="1370">
        <v>4</v>
      </c>
      <c r="AP8" s="1370">
        <v>4</v>
      </c>
      <c r="AQ8" s="1370">
        <v>4</v>
      </c>
      <c r="AR8" s="1370">
        <v>4</v>
      </c>
      <c r="AS8" s="1370">
        <v>4</v>
      </c>
      <c r="AT8" s="1370">
        <v>4</v>
      </c>
      <c r="AU8" s="1370">
        <v>4</v>
      </c>
      <c r="AX8" s="1640"/>
      <c r="AY8" s="1640"/>
      <c r="BD8" s="1640"/>
      <c r="BR8" s="1164">
        <v>0</v>
      </c>
    </row>
    <row s="1370" customFormat="1" customHeight="1" ht="22.5" hidden="1">
      <c r="A9" s="991"/>
      <c r="C9" s="1640"/>
      <c r="D9" s="542"/>
      <c r="E9" s="1652"/>
      <c r="F9" s="544"/>
      <c r="G9" s="1650" t="s">
        <v>690</v>
      </c>
      <c r="H9" s="545"/>
      <c r="I9" s="54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546" t="s">
        <v>693</v>
      </c>
      <c r="AW9" s="547"/>
      <c r="AX9" s="1640"/>
      <c r="AY9" s="1640"/>
      <c r="BD9" s="1640"/>
      <c r="BG9" s="548"/>
      <c r="BM9" s="1636"/>
      <c r="BN9" s="1636"/>
      <c r="BO9" s="1636"/>
      <c r="BP9" s="1636"/>
      <c r="BQ9" s="1636"/>
      <c r="BR9" s="1164">
        <v>0</v>
      </c>
    </row>
    <row customHeight="1" ht="11.25" hidden="1">
      <c r="J10" s="1639"/>
      <c r="K10" s="1639"/>
      <c r="L10" s="1639"/>
      <c r="M10" s="1639"/>
      <c r="N10" s="1639"/>
      <c r="O10" s="1639"/>
      <c r="P10" s="1639"/>
      <c r="Q10" s="1639"/>
      <c r="R10" s="1639"/>
      <c r="S10" s="1639"/>
      <c r="T10" s="1639"/>
      <c r="U10" s="1639"/>
      <c r="V10" s="1639"/>
      <c r="W10" s="1639"/>
      <c r="X10" s="1639"/>
      <c r="Y10" s="1639"/>
      <c r="Z10" s="1639"/>
      <c r="AA10" s="1639"/>
      <c r="AB10" s="1639"/>
      <c r="AC10" s="1639"/>
      <c r="AD10" s="1639"/>
      <c r="AE10" s="1639"/>
      <c r="AF10" s="1639"/>
      <c r="AG10" s="1639"/>
      <c r="AH10" s="1639"/>
      <c r="AI10" s="1639"/>
      <c r="AJ10" s="1639"/>
      <c r="AK10" s="1639"/>
      <c r="AL10" s="1639"/>
      <c r="AM10" s="1639"/>
      <c r="AN10" s="1639"/>
      <c r="AO10" s="1639"/>
      <c r="AP10" s="1639"/>
      <c r="AQ10" s="1639"/>
      <c r="AR10" s="1639"/>
      <c r="AS10" s="1639"/>
      <c r="AT10" s="1639"/>
      <c r="AU10" s="1639"/>
      <c r="BR10" s="1635">
        <v>0</v>
      </c>
    </row>
    <row customHeight="1" ht="18.75" hidden="1">
      <c r="D11" s="1642"/>
      <c r="E11" s="550"/>
      <c r="F11" s="544"/>
      <c r="G11" s="1650" t="s">
        <v>694</v>
      </c>
      <c r="H11" s="545"/>
      <c r="I11" s="54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293" t="s">
        <v>695</v>
      </c>
      <c r="AW11" s="547"/>
      <c r="BR11" s="1635">
        <v>0</v>
      </c>
    </row>
    <row customHeight="1" ht="11.25" hidden="1">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AN12" s="1639"/>
      <c r="AO12" s="1639"/>
      <c r="AP12" s="1639"/>
      <c r="AQ12" s="1639"/>
      <c r="AR12" s="1639"/>
      <c r="AS12" s="1639"/>
      <c r="AT12" s="1639"/>
      <c r="AU12" s="1639"/>
      <c r="BR12" s="1635">
        <v>0</v>
      </c>
    </row>
    <row customHeight="1" ht="22.5" hidden="1">
      <c r="D13" s="1642"/>
      <c r="E13" s="550"/>
      <c r="F13" s="544"/>
      <c r="G13" s="973" t="s">
        <v>696</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749" t="s">
        <v>697</v>
      </c>
      <c r="AW13" s="547"/>
      <c r="BR13" s="1635">
        <v>0</v>
      </c>
    </row>
    <row customHeight="1" ht="11.25" hidden="1">
      <c r="J14" s="1639"/>
      <c r="K14" s="1639"/>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AM14" s="1639"/>
      <c r="AN14" s="1639"/>
      <c r="AO14" s="1639"/>
      <c r="AP14" s="1639"/>
      <c r="AQ14" s="1639"/>
      <c r="AR14" s="1639"/>
      <c r="AS14" s="1639"/>
      <c r="AT14" s="1639"/>
      <c r="AU14" s="1639"/>
      <c r="BR14" s="1635">
        <v>0</v>
      </c>
    </row>
    <row customHeight="1" ht="22.5" hidden="1">
      <c r="D15" s="1642"/>
      <c r="E15" s="550"/>
      <c r="F15" s="544"/>
      <c r="G15" s="1650" t="s">
        <v>698</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293" t="s">
        <v>699</v>
      </c>
      <c r="AW15" s="547"/>
      <c r="BR15" s="1635">
        <v>0</v>
      </c>
    </row>
    <row customHeight="1" ht="11.25" hidden="1">
      <c r="J16" s="1639"/>
      <c r="K16" s="1639"/>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AM16" s="1639"/>
      <c r="AN16" s="1639"/>
      <c r="AO16" s="1639"/>
      <c r="AP16" s="1639"/>
      <c r="AQ16" s="1639"/>
      <c r="AR16" s="1639"/>
      <c r="AS16" s="1639"/>
      <c r="AT16" s="1639"/>
      <c r="AU16" s="1639"/>
      <c r="BR16" s="1635">
        <v>0</v>
      </c>
    </row>
    <row customHeight="1" ht="22.5" hidden="1">
      <c r="D17" s="1642"/>
      <c r="E17" s="550"/>
      <c r="F17" s="544"/>
      <c r="G17" s="1650" t="s">
        <v>700</v>
      </c>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293" t="s">
        <v>701</v>
      </c>
      <c r="AW17" s="547"/>
      <c r="BR17" s="1635">
        <v>0</v>
      </c>
    </row>
    <row customHeight="1" ht="11.25" hidden="1">
      <c r="J18" s="1639"/>
      <c r="K18" s="1639"/>
      <c r="L18" s="1639"/>
      <c r="M18" s="1639"/>
      <c r="N18" s="1639"/>
      <c r="O18" s="1639"/>
      <c r="P18" s="1639"/>
      <c r="Q18" s="1639"/>
      <c r="R18" s="1639"/>
      <c r="S18" s="1639"/>
      <c r="T18" s="1639"/>
      <c r="U18" s="1639"/>
      <c r="V18" s="1639"/>
      <c r="W18" s="1639"/>
      <c r="X18" s="1639"/>
      <c r="Y18" s="1639"/>
      <c r="Z18" s="1639"/>
      <c r="AA18" s="1639"/>
      <c r="AB18" s="1639"/>
      <c r="AC18" s="1639"/>
      <c r="AD18" s="1639"/>
      <c r="AE18" s="1639"/>
      <c r="AF18" s="1639"/>
      <c r="AG18" s="1639"/>
      <c r="AH18" s="1639"/>
      <c r="AI18" s="1639"/>
      <c r="AJ18" s="1639"/>
      <c r="AK18" s="1639"/>
      <c r="AL18" s="1639"/>
      <c r="AM18" s="1639"/>
      <c r="AN18" s="1639"/>
      <c r="AO18" s="1639"/>
      <c r="AP18" s="1639"/>
      <c r="AQ18" s="1639"/>
      <c r="AR18" s="1639"/>
      <c r="AS18" s="1639"/>
      <c r="AT18" s="1639"/>
      <c r="AU18" s="1639"/>
      <c r="BR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c r="AP19" s="1636"/>
      <c r="AQ19" s="1636"/>
      <c r="AR19" s="1636"/>
      <c r="AS19" s="1636"/>
      <c r="AT19" s="1636"/>
      <c r="AU19" s="1636"/>
      <c r="AV19" s="1636">
        <v>4</v>
      </c>
      <c r="AW19" s="1164"/>
      <c r="AX19" s="1640"/>
      <c r="AY19" s="1640"/>
      <c r="AZ19" s="1164"/>
      <c r="BA19" s="1164"/>
      <c r="BB19" s="1164"/>
      <c r="BC19" s="1164"/>
      <c r="BD19" s="1640"/>
      <c r="BE19" s="1164"/>
      <c r="BF19" s="1164"/>
      <c r="BG19" s="548"/>
      <c r="BH19" s="1164"/>
      <c r="BI19" s="1164"/>
      <c r="BJ19" s="1164"/>
      <c r="BK19" s="1164"/>
      <c r="BL19" s="1164"/>
      <c r="BR19" s="1636">
        <v>0</v>
      </c>
    </row>
    <row customHeight="1" ht="11.54999999999999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BR20" s="1635">
        <v>11</v>
      </c>
    </row>
    <row customHeight="1" ht="25.2">
      <c r="E21" s="22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2265"/>
      <c r="AN21" s="2265"/>
      <c r="AO21" s="2265"/>
      <c r="AP21" s="2265"/>
      <c r="AQ21" s="2265"/>
      <c r="AR21" s="2265"/>
      <c r="AS21" s="2265"/>
      <c r="AT21" s="2265"/>
      <c r="AU21" s="2265"/>
      <c r="AV21" s="560"/>
      <c r="BR21" s="1635">
        <v>24</v>
      </c>
    </row>
    <row customHeight="1" ht="25.2">
      <c r="E22" s="2266" t="str">
        <f>IF(org=0,"Не определено",org)</f>
        <v>КГУП "Примтеплоэнерго"</v>
      </c>
      <c r="F22" s="2266"/>
      <c r="G22" s="2266"/>
      <c r="H22" s="2266"/>
      <c r="I22" s="2266"/>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6"/>
      <c r="AJ22" s="2266"/>
      <c r="AK22" s="2266"/>
      <c r="AL22" s="2266"/>
      <c r="AM22" s="2266"/>
      <c r="AN22" s="2266"/>
      <c r="AO22" s="2266"/>
      <c r="AP22" s="2266"/>
      <c r="AQ22" s="2266"/>
      <c r="AR22" s="2266"/>
      <c r="AS22" s="2266"/>
      <c r="AT22" s="2266"/>
      <c r="AU22" s="2266"/>
      <c r="BR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X23" s="1140" t="s">
        <v>22</v>
      </c>
      <c r="Y23" s="1140" t="s">
        <v>22</v>
      </c>
      <c r="Z23" s="1140" t="s">
        <v>22</v>
      </c>
      <c r="AA23" s="1140" t="s">
        <v>22</v>
      </c>
      <c r="AB23" s="1140" t="s">
        <v>22</v>
      </c>
      <c r="AC23" s="1140" t="s">
        <v>22</v>
      </c>
      <c r="AD23" s="1140" t="s">
        <v>22</v>
      </c>
      <c r="AE23" s="1140" t="s">
        <v>22</v>
      </c>
      <c r="AF23" s="1140" t="s">
        <v>22</v>
      </c>
      <c r="AG23" s="1140" t="s">
        <v>22</v>
      </c>
      <c r="AH23" s="1140" t="s">
        <v>22</v>
      </c>
      <c r="AI23" s="1140" t="s">
        <v>22</v>
      </c>
      <c r="AJ23" s="1140" t="s">
        <v>22</v>
      </c>
      <c r="AK23" s="1140" t="s">
        <v>22</v>
      </c>
      <c r="AL23" s="1140" t="s">
        <v>22</v>
      </c>
      <c r="AM23" s="1140" t="s">
        <v>22</v>
      </c>
      <c r="AN23" s="1140" t="s">
        <v>22</v>
      </c>
      <c r="AO23" s="1140" t="s">
        <v>22</v>
      </c>
      <c r="AP23" s="1140" t="s">
        <v>22</v>
      </c>
      <c r="AQ23" s="1140" t="s">
        <v>22</v>
      </c>
      <c r="AR23" s="1140" t="s">
        <v>22</v>
      </c>
      <c r="AS23" s="1140" t="s">
        <v>22</v>
      </c>
      <c r="AT23" s="1140" t="s">
        <v>22</v>
      </c>
      <c r="AU23" s="1140" t="s">
        <v>22</v>
      </c>
      <c r="BR23" s="1635">
        <v>11</v>
      </c>
    </row>
    <row s="1646" customFormat="1" customHeight="1" ht="1.05">
      <c r="A24" s="1171"/>
      <c r="D24" s="1646"/>
      <c r="H24" s="893"/>
      <c r="I24" s="893" t="s">
        <v>182</v>
      </c>
      <c r="J24" s="893" t="s">
        <v>238</v>
      </c>
      <c r="K24" s="893" t="s">
        <v>250</v>
      </c>
      <c r="L24" s="893" t="s">
        <v>253</v>
      </c>
      <c r="M24" s="893" t="s">
        <v>186</v>
      </c>
      <c r="N24" s="893" t="s">
        <v>188</v>
      </c>
      <c r="O24" s="893" t="s">
        <v>190</v>
      </c>
      <c r="P24" s="893" t="s">
        <v>192</v>
      </c>
      <c r="Q24" s="893" t="s">
        <v>194</v>
      </c>
      <c r="R24" s="893" t="s">
        <v>196</v>
      </c>
      <c r="S24" s="893" t="s">
        <v>198</v>
      </c>
      <c r="T24" s="893" t="s">
        <v>201</v>
      </c>
      <c r="U24" s="893" t="s">
        <v>203</v>
      </c>
      <c r="V24" s="893" t="s">
        <v>207</v>
      </c>
      <c r="W24" s="893" t="s">
        <v>211</v>
      </c>
      <c r="X24" s="893" t="s">
        <v>213</v>
      </c>
      <c r="Y24" s="893" t="s">
        <v>215</v>
      </c>
      <c r="Z24" s="893" t="s">
        <v>217</v>
      </c>
      <c r="AA24" s="893" t="s">
        <v>225</v>
      </c>
      <c r="AB24" s="893" t="s">
        <v>229</v>
      </c>
      <c r="AC24" s="893" t="s">
        <v>231</v>
      </c>
      <c r="AD24" s="893" t="s">
        <v>235</v>
      </c>
      <c r="AE24" s="893" t="s">
        <v>205</v>
      </c>
      <c r="AF24" s="893" t="s">
        <v>209</v>
      </c>
      <c r="AG24" s="893" t="s">
        <v>219</v>
      </c>
      <c r="AH24" s="893" t="s">
        <v>221</v>
      </c>
      <c r="AI24" s="893" t="s">
        <v>223</v>
      </c>
      <c r="AJ24" s="893" t="s">
        <v>227</v>
      </c>
      <c r="AK24" s="893" t="s">
        <v>233</v>
      </c>
      <c r="AL24" s="893" t="s">
        <v>240</v>
      </c>
      <c r="AM24" s="893" t="s">
        <v>242</v>
      </c>
      <c r="AN24" s="893" t="s">
        <v>244</v>
      </c>
      <c r="AO24" s="893" t="s">
        <v>246</v>
      </c>
      <c r="AP24" s="893" t="s">
        <v>248</v>
      </c>
      <c r="AQ24" s="893" t="s">
        <v>256</v>
      </c>
      <c r="AR24" s="893" t="s">
        <v>258</v>
      </c>
      <c r="AS24" s="893" t="s">
        <v>260</v>
      </c>
      <c r="AT24" s="893" t="s">
        <v>262</v>
      </c>
      <c r="AU24" s="893" t="s">
        <v>264</v>
      </c>
      <c r="BR24" s="1640">
        <v>1</v>
      </c>
    </row>
    <row customHeight="1" ht="28.5">
      <c r="E25" s="715"/>
      <c r="F25" s="2384" t="s">
        <v>173</v>
      </c>
      <c r="G25" s="2385"/>
      <c r="H25" s="1656" t="str">
        <f>IF(H24="","",INDEX(DIFFERENTIATION_UNMERGE_VD,MATCH(H24,DIFFERENTIATION_ID_DIFF,0)))</f>
        <v/>
      </c>
      <c r="I25" s="1656" t="str">
        <f>IF(I24="","",INDEX(DIFFERENTIATION_UNMERGE_VD,MATCH(I24,DIFFERENTIATION_ID_DIFF,0)))</f>
        <v>Холодное водоснабжение. Питьевая вода</v>
      </c>
      <c r="J25" s="2410" t="str">
        <f>IF(J24="","",INDEX(DIFFERENTIATION_UNMERGE_VD,MATCH(J24,DIFFERENTIATION_ID_DIFF,0)))</f>
        <v>Подключение (технологическое присоединение) к централизованной системе водоснабжения</v>
      </c>
      <c r="K25" s="2410" t="str">
        <f>IF(K24="","",INDEX(DIFFERENTIATION_UNMERGE_VD,MATCH(K24,DIFFERENTIATION_ID_DIFF,0)))</f>
        <v>Холодное водоснабжение. Техническая вода</v>
      </c>
      <c r="L25" s="2410" t="str">
        <f>IF(L24="","",INDEX(DIFFERENTIATION_UNMERGE_VD,MATCH(L24,DIFFERENTIATION_ID_DIFF,0)))</f>
        <v>Холодное водоснабжение. Подвозная вода</v>
      </c>
      <c r="M25" s="2410" t="str">
        <f>IF(M24="","",INDEX(DIFFERENTIATION_UNMERGE_VD,MATCH(M24,DIFFERENTIATION_ID_DIFF,0)))</f>
        <v>Холодное водоснабжение. Питьевая вода</v>
      </c>
      <c r="N25" s="2410" t="str">
        <f>IF(N24="","",INDEX(DIFFERENTIATION_UNMERGE_VD,MATCH(N24,DIFFERENTIATION_ID_DIFF,0)))</f>
        <v>Холодное водоснабжение. Питьевая вода</v>
      </c>
      <c r="O25" s="2410" t="str">
        <f>IF(O24="","",INDEX(DIFFERENTIATION_UNMERGE_VD,MATCH(O24,DIFFERENTIATION_ID_DIFF,0)))</f>
        <v>Холодное водоснабжение. Питьевая вода</v>
      </c>
      <c r="P25" s="2410" t="str">
        <f>IF(P24="","",INDEX(DIFFERENTIATION_UNMERGE_VD,MATCH(P24,DIFFERENTIATION_ID_DIFF,0)))</f>
        <v>Холодное водоснабжение. Питьевая вода</v>
      </c>
      <c r="Q25" s="2410" t="str">
        <f>IF(Q24="","",INDEX(DIFFERENTIATION_UNMERGE_VD,MATCH(Q24,DIFFERENTIATION_ID_DIFF,0)))</f>
        <v>Холодное водоснабжение. Питьевая вода</v>
      </c>
      <c r="R25" s="2410" t="str">
        <f>IF(R24="","",INDEX(DIFFERENTIATION_UNMERGE_VD,MATCH(R24,DIFFERENTIATION_ID_DIFF,0)))</f>
        <v>Холодное водоснабжение. Питьевая вода</v>
      </c>
      <c r="S25" s="2410" t="str">
        <f>IF(S24="","",INDEX(DIFFERENTIATION_UNMERGE_VD,MATCH(S24,DIFFERENTIATION_ID_DIFF,0)))</f>
        <v>Холодное водоснабжение. Питьевая вода</v>
      </c>
      <c r="T25" s="2410" t="str">
        <f>IF(T24="","",INDEX(DIFFERENTIATION_UNMERGE_VD,MATCH(T24,DIFFERENTIATION_ID_DIFF,0)))</f>
        <v>Холодное водоснабжение. Питьевая вода</v>
      </c>
      <c r="U25" s="2410" t="str">
        <f>IF(U24="","",INDEX(DIFFERENTIATION_UNMERGE_VD,MATCH(U24,DIFFERENTIATION_ID_DIFF,0)))</f>
        <v>Холодное водоснабжение. Питьевая вода</v>
      </c>
      <c r="V25" s="2410" t="str">
        <f>IF(V24="","",INDEX(DIFFERENTIATION_UNMERGE_VD,MATCH(V24,DIFFERENTIATION_ID_DIFF,0)))</f>
        <v>Холодное водоснабжение. Питьевая вода</v>
      </c>
      <c r="W25" s="2410" t="str">
        <f>IF(W24="","",INDEX(DIFFERENTIATION_UNMERGE_VD,MATCH(W24,DIFFERENTIATION_ID_DIFF,0)))</f>
        <v>Холодное водоснабжение. Питьевая вода</v>
      </c>
      <c r="X25" s="2410" t="str">
        <f>IF(X24="","",INDEX(DIFFERENTIATION_UNMERGE_VD,MATCH(X24,DIFFERENTIATION_ID_DIFF,0)))</f>
        <v>Холодное водоснабжение. Питьевая вода</v>
      </c>
      <c r="Y25" s="2410" t="str">
        <f>IF(Y24="","",INDEX(DIFFERENTIATION_UNMERGE_VD,MATCH(Y24,DIFFERENTIATION_ID_DIFF,0)))</f>
        <v>Холодное водоснабжение. Питьевая вода</v>
      </c>
      <c r="Z25" s="2410" t="str">
        <f>IF(Z24="","",INDEX(DIFFERENTIATION_UNMERGE_VD,MATCH(Z24,DIFFERENTIATION_ID_DIFF,0)))</f>
        <v>Холодное водоснабжение. Питьевая вода</v>
      </c>
      <c r="AA25" s="2410" t="str">
        <f>IF(AA24="","",INDEX(DIFFERENTIATION_UNMERGE_VD,MATCH(AA24,DIFFERENTIATION_ID_DIFF,0)))</f>
        <v>Холодное водоснабжение. Питьевая вода</v>
      </c>
      <c r="AB25" s="2410" t="str">
        <f>IF(AB24="","",INDEX(DIFFERENTIATION_UNMERGE_VD,MATCH(AB24,DIFFERENTIATION_ID_DIFF,0)))</f>
        <v>Холодное водоснабжение. Питьевая вода</v>
      </c>
      <c r="AC25" s="2410" t="str">
        <f>IF(AC24="","",INDEX(DIFFERENTIATION_UNMERGE_VD,MATCH(AC24,DIFFERENTIATION_ID_DIFF,0)))</f>
        <v>Холодное водоснабжение. Питьевая вода</v>
      </c>
      <c r="AD25" s="2410" t="str">
        <f>IF(AD24="","",INDEX(DIFFERENTIATION_UNMERGE_VD,MATCH(AD24,DIFFERENTIATION_ID_DIFF,0)))</f>
        <v>Холодное водоснабжение. Питьевая вода</v>
      </c>
      <c r="AE25" s="2410" t="str">
        <f>IF(AE24="","",INDEX(DIFFERENTIATION_UNMERGE_VD,MATCH(AE24,DIFFERENTIATION_ID_DIFF,0)))</f>
        <v>Холодное водоснабжение. Питьевая вода</v>
      </c>
      <c r="AF25" s="2410" t="str">
        <f>IF(AF24="","",INDEX(DIFFERENTIATION_UNMERGE_VD,MATCH(AF24,DIFFERENTIATION_ID_DIFF,0)))</f>
        <v>Холодное водоснабжение. Питьевая вода</v>
      </c>
      <c r="AG25" s="2410" t="str">
        <f>IF(AG24="","",INDEX(DIFFERENTIATION_UNMERGE_VD,MATCH(AG24,DIFFERENTIATION_ID_DIFF,0)))</f>
        <v>Холодное водоснабжение. Питьевая вода</v>
      </c>
      <c r="AH25" s="2410" t="str">
        <f>IF(AH24="","",INDEX(DIFFERENTIATION_UNMERGE_VD,MATCH(AH24,DIFFERENTIATION_ID_DIFF,0)))</f>
        <v>Холодное водоснабжение. Питьевая вода</v>
      </c>
      <c r="AI25" s="2410" t="str">
        <f>IF(AI24="","",INDEX(DIFFERENTIATION_UNMERGE_VD,MATCH(AI24,DIFFERENTIATION_ID_DIFF,0)))</f>
        <v>Холодное водоснабжение. Питьевая вода</v>
      </c>
      <c r="AJ25" s="2410" t="str">
        <f>IF(AJ24="","",INDEX(DIFFERENTIATION_UNMERGE_VD,MATCH(AJ24,DIFFERENTIATION_ID_DIFF,0)))</f>
        <v>Холодное водоснабжение. Питьевая вода</v>
      </c>
      <c r="AK25" s="2410" t="str">
        <f>IF(AK24="","",INDEX(DIFFERENTIATION_UNMERGE_VD,MATCH(AK24,DIFFERENTIATION_ID_DIFF,0)))</f>
        <v>Холодное водоснабжение. Питьевая вода</v>
      </c>
      <c r="AL25" s="2410" t="str">
        <f>IF(AL24="","",INDEX(DIFFERENTIATION_UNMERGE_VD,MATCH(AL24,DIFFERENTIATION_ID_DIFF,0)))</f>
        <v>Подключение (технологическое присоединение) к централизованной системе водоснабжения</v>
      </c>
      <c r="AM25" s="2410" t="str">
        <f>IF(AM24="","",INDEX(DIFFERENTIATION_UNMERGE_VD,MATCH(AM24,DIFFERENTIATION_ID_DIFF,0)))</f>
        <v>Подключение (технологическое присоединение) к централизованной системе водоснабжения</v>
      </c>
      <c r="AN25" s="2410" t="str">
        <f>IF(AN24="","",INDEX(DIFFERENTIATION_UNMERGE_VD,MATCH(AN24,DIFFERENTIATION_ID_DIFF,0)))</f>
        <v>Подключение (технологическое присоединение) к централизованной системе водоснабжения</v>
      </c>
      <c r="AO25" s="2410" t="str">
        <f>IF(AO24="","",INDEX(DIFFERENTIATION_UNMERGE_VD,MATCH(AO24,DIFFERENTIATION_ID_DIFF,0)))</f>
        <v>Подключение (технологическое присоединение) к централизованной системе водоснабжения</v>
      </c>
      <c r="AP25" s="2410" t="str">
        <f>IF(AP24="","",INDEX(DIFFERENTIATION_UNMERGE_VD,MATCH(AP24,DIFFERENTIATION_ID_DIFF,0)))</f>
        <v>Подключение (технологическое присоединение) к централизованной системе водоснабжения</v>
      </c>
      <c r="AQ25" s="2410" t="str">
        <f>IF(AQ24="","",INDEX(DIFFERENTIATION_UNMERGE_VD,MATCH(AQ24,DIFFERENTIATION_ID_DIFF,0)))</f>
        <v>Холодное водоснабжение. Подвозная вода</v>
      </c>
      <c r="AR25" s="2410" t="str">
        <f>IF(AR24="","",INDEX(DIFFERENTIATION_UNMERGE_VD,MATCH(AR24,DIFFERENTIATION_ID_DIFF,0)))</f>
        <v>Холодное водоснабжение. Подвозная вода</v>
      </c>
      <c r="AS25" s="2410" t="str">
        <f>IF(AS24="","",INDEX(DIFFERENTIATION_UNMERGE_VD,MATCH(AS24,DIFFERENTIATION_ID_DIFF,0)))</f>
        <v>Холодное водоснабжение. Подвозная вода</v>
      </c>
      <c r="AT25" s="2410" t="str">
        <f>IF(AT24="","",INDEX(DIFFERENTIATION_UNMERGE_VD,MATCH(AT24,DIFFERENTIATION_ID_DIFF,0)))</f>
        <v>Холодное водоснабжение. Подвозная вода</v>
      </c>
      <c r="AU25" s="2410" t="str">
        <f>IF(AU24="","",INDEX(DIFFERENTIATION_UNMERGE_VD,MATCH(AU24,DIFFERENTIATION_ID_DIFF,0)))</f>
        <v>Холодное водоснабжение. Подвозная вода</v>
      </c>
      <c r="AV25" s="2144"/>
      <c r="BR25" s="1635">
        <v>11</v>
      </c>
    </row>
    <row customHeight="1" ht="11.549999999999999">
      <c r="E26" s="715"/>
      <c r="F26" s="2384" t="s">
        <v>702</v>
      </c>
      <c r="G26" s="2385"/>
      <c r="H26" s="1656" t="str">
        <f>IF(H24="","",INDEX(DIFFERENTIATION_UNMERGE_AREA,MATCH(H24,DIFFERENTIATION_ID_DIFF,0)))</f>
        <v/>
      </c>
      <c r="I26" s="1656" t="str">
        <f>IF(I24="","",INDEX(DIFFERENTIATION_UNMERGE_AREA,MATCH(I24,DIFFERENTIATION_ID_DIFF,0)))</f>
        <v>Территория 1</v>
      </c>
      <c r="J26" s="2410" t="str">
        <f>IF(J24="","",INDEX(DIFFERENTIATION_UNMERGE_AREA,MATCH(J24,DIFFERENTIATION_ID_DIFF,0)))</f>
        <v>Территория 8</v>
      </c>
      <c r="K26" s="2410" t="str">
        <f>IF(K24="","",INDEX(DIFFERENTIATION_UNMERGE_AREA,MATCH(K24,DIFFERENTIATION_ID_DIFF,0)))</f>
        <v>Территория 9</v>
      </c>
      <c r="L26" s="2410" t="str">
        <f>IF(L24="","",INDEX(DIFFERENTIATION_UNMERGE_AREA,MATCH(L24,DIFFERENTIATION_ID_DIFF,0)))</f>
        <v>Территория 2</v>
      </c>
      <c r="M26" s="2410" t="str">
        <f>IF(M24="","",INDEX(DIFFERENTIATION_UNMERGE_AREA,MATCH(M24,DIFFERENTIATION_ID_DIFF,0)))</f>
        <v>Территория 1</v>
      </c>
      <c r="N26" s="2410" t="str">
        <f>IF(N24="","",INDEX(DIFFERENTIATION_UNMERGE_AREA,MATCH(N24,DIFFERENTIATION_ID_DIFF,0)))</f>
        <v>Территория 1</v>
      </c>
      <c r="O26" s="2410" t="str">
        <f>IF(O24="","",INDEX(DIFFERENTIATION_UNMERGE_AREA,MATCH(O24,DIFFERENTIATION_ID_DIFF,0)))</f>
        <v>Территория 1</v>
      </c>
      <c r="P26" s="2410" t="str">
        <f>IF(P24="","",INDEX(DIFFERENTIATION_UNMERGE_AREA,MATCH(P24,DIFFERENTIATION_ID_DIFF,0)))</f>
        <v>Территория 1</v>
      </c>
      <c r="Q26" s="2410" t="str">
        <f>IF(Q24="","",INDEX(DIFFERENTIATION_UNMERGE_AREA,MATCH(Q24,DIFFERENTIATION_ID_DIFF,0)))</f>
        <v>Территория 1</v>
      </c>
      <c r="R26" s="2410" t="str">
        <f>IF(R24="","",INDEX(DIFFERENTIATION_UNMERGE_AREA,MATCH(R24,DIFFERENTIATION_ID_DIFF,0)))</f>
        <v>Территория 1</v>
      </c>
      <c r="S26" s="2410" t="str">
        <f>IF(S24="","",INDEX(DIFFERENTIATION_UNMERGE_AREA,MATCH(S24,DIFFERENTIATION_ID_DIFF,0)))</f>
        <v>Территория 1</v>
      </c>
      <c r="T26" s="2410" t="str">
        <f>IF(T24="","",INDEX(DIFFERENTIATION_UNMERGE_AREA,MATCH(T24,DIFFERENTIATION_ID_DIFF,0)))</f>
        <v>Территория 2</v>
      </c>
      <c r="U26" s="2410" t="str">
        <f>IF(U24="","",INDEX(DIFFERENTIATION_UNMERGE_AREA,MATCH(U24,DIFFERENTIATION_ID_DIFF,0)))</f>
        <v>Территория 3</v>
      </c>
      <c r="V26" s="2410" t="str">
        <f>IF(V24="","",INDEX(DIFFERENTIATION_UNMERGE_AREA,MATCH(V24,DIFFERENTIATION_ID_DIFF,0)))</f>
        <v>Территория 4</v>
      </c>
      <c r="W26" s="2410" t="str">
        <f>IF(W24="","",INDEX(DIFFERENTIATION_UNMERGE_AREA,MATCH(W24,DIFFERENTIATION_ID_DIFF,0)))</f>
        <v>Территория 5</v>
      </c>
      <c r="X26" s="2410" t="str">
        <f>IF(X24="","",INDEX(DIFFERENTIATION_UNMERGE_AREA,MATCH(X24,DIFFERENTIATION_ID_DIFF,0)))</f>
        <v>Территория 6</v>
      </c>
      <c r="Y26" s="2410" t="str">
        <f>IF(Y24="","",INDEX(DIFFERENTIATION_UNMERGE_AREA,MATCH(Y24,DIFFERENTIATION_ID_DIFF,0)))</f>
        <v>Территория 7</v>
      </c>
      <c r="Z26" s="2410" t="str">
        <f>IF(Z24="","",INDEX(DIFFERENTIATION_UNMERGE_AREA,MATCH(Z24,DIFFERENTIATION_ID_DIFF,0)))</f>
        <v>Территория 8</v>
      </c>
      <c r="AA26" s="2410" t="str">
        <f>IF(AA24="","",INDEX(DIFFERENTIATION_UNMERGE_AREA,MATCH(AA24,DIFFERENTIATION_ID_DIFF,0)))</f>
        <v>Территория 9</v>
      </c>
      <c r="AB26" s="2410" t="str">
        <f>IF(AB24="","",INDEX(DIFFERENTIATION_UNMERGE_AREA,MATCH(AB24,DIFFERENTIATION_ID_DIFF,0)))</f>
        <v>Территория 10</v>
      </c>
      <c r="AC26" s="2410" t="str">
        <f>IF(AC24="","",INDEX(DIFFERENTIATION_UNMERGE_AREA,MATCH(AC24,DIFFERENTIATION_ID_DIFF,0)))</f>
        <v>Территория 11</v>
      </c>
      <c r="AD26" s="2410" t="str">
        <f>IF(AD24="","",INDEX(DIFFERENTIATION_UNMERGE_AREA,MATCH(AD24,DIFFERENTIATION_ID_DIFF,0)))</f>
        <v>Территория 12</v>
      </c>
      <c r="AE26" s="2410" t="str">
        <f>IF(AE24="","",INDEX(DIFFERENTIATION_UNMERGE_AREA,MATCH(AE24,DIFFERENTIATION_ID_DIFF,0)))</f>
        <v>Территория 3</v>
      </c>
      <c r="AF26" s="2410" t="str">
        <f>IF(AF24="","",INDEX(DIFFERENTIATION_UNMERGE_AREA,MATCH(AF24,DIFFERENTIATION_ID_DIFF,0)))</f>
        <v>Территория 4</v>
      </c>
      <c r="AG26" s="2410" t="str">
        <f>IF(AG24="","",INDEX(DIFFERENTIATION_UNMERGE_AREA,MATCH(AG24,DIFFERENTIATION_ID_DIFF,0)))</f>
        <v>Территория 8</v>
      </c>
      <c r="AH26" s="2410" t="str">
        <f>IF(AH24="","",INDEX(DIFFERENTIATION_UNMERGE_AREA,MATCH(AH24,DIFFERENTIATION_ID_DIFF,0)))</f>
        <v>Территория 8</v>
      </c>
      <c r="AI26" s="2410" t="str">
        <f>IF(AI24="","",INDEX(DIFFERENTIATION_UNMERGE_AREA,MATCH(AI24,DIFFERENTIATION_ID_DIFF,0)))</f>
        <v>Территория 8</v>
      </c>
      <c r="AJ26" s="2410" t="str">
        <f>IF(AJ24="","",INDEX(DIFFERENTIATION_UNMERGE_AREA,MATCH(AJ24,DIFFERENTIATION_ID_DIFF,0)))</f>
        <v>Территория 9</v>
      </c>
      <c r="AK26" s="2410" t="str">
        <f>IF(AK24="","",INDEX(DIFFERENTIATION_UNMERGE_AREA,MATCH(AK24,DIFFERENTIATION_ID_DIFF,0)))</f>
        <v>Территория 11</v>
      </c>
      <c r="AL26" s="2410" t="str">
        <f>IF(AL24="","",INDEX(DIFFERENTIATION_UNMERGE_AREA,MATCH(AL24,DIFFERENTIATION_ID_DIFF,0)))</f>
        <v>Территория 9</v>
      </c>
      <c r="AM26" s="2410" t="str">
        <f>IF(AM24="","",INDEX(DIFFERENTIATION_UNMERGE_AREA,MATCH(AM24,DIFFERENTIATION_ID_DIFF,0)))</f>
        <v>Территория 6</v>
      </c>
      <c r="AN26" s="2410" t="str">
        <f>IF(AN24="","",INDEX(DIFFERENTIATION_UNMERGE_AREA,MATCH(AN24,DIFFERENTIATION_ID_DIFF,0)))</f>
        <v>Территория 7</v>
      </c>
      <c r="AO26" s="2410" t="str">
        <f>IF(AO24="","",INDEX(DIFFERENTIATION_UNMERGE_AREA,MATCH(AO24,DIFFERENTIATION_ID_DIFF,0)))</f>
        <v>Территория 11</v>
      </c>
      <c r="AP26" s="2410" t="str">
        <f>IF(AP24="","",INDEX(DIFFERENTIATION_UNMERGE_AREA,MATCH(AP24,DIFFERENTIATION_ID_DIFF,0)))</f>
        <v>Территория 1</v>
      </c>
      <c r="AQ26" s="2410" t="str">
        <f>IF(AQ24="","",INDEX(DIFFERENTIATION_UNMERGE_AREA,MATCH(AQ24,DIFFERENTIATION_ID_DIFF,0)))</f>
        <v>Территория 7</v>
      </c>
      <c r="AR26" s="2410" t="str">
        <f>IF(AR24="","",INDEX(DIFFERENTIATION_UNMERGE_AREA,MATCH(AR24,DIFFERENTIATION_ID_DIFF,0)))</f>
        <v>Территория 5</v>
      </c>
      <c r="AS26" s="2410" t="str">
        <f>IF(AS24="","",INDEX(DIFFERENTIATION_UNMERGE_AREA,MATCH(AS24,DIFFERENTIATION_ID_DIFF,0)))</f>
        <v>Территория 4</v>
      </c>
      <c r="AT26" s="2410" t="str">
        <f>IF(AT24="","",INDEX(DIFFERENTIATION_UNMERGE_AREA,MATCH(AT24,DIFFERENTIATION_ID_DIFF,0)))</f>
        <v>Территория 8</v>
      </c>
      <c r="AU26" s="2410" t="str">
        <f>IF(AU24="","",INDEX(DIFFERENTIATION_UNMERGE_AREA,MATCH(AU24,DIFFERENTIATION_ID_DIFF,0)))</f>
        <v>Территория 6</v>
      </c>
      <c r="AV26" s="2144"/>
      <c r="BR26" s="1635">
        <v>11</v>
      </c>
    </row>
    <row customHeight="1" ht="53.25">
      <c r="E27" s="715"/>
      <c r="F27" s="2384" t="s">
        <v>703</v>
      </c>
      <c r="G27" s="2385"/>
      <c r="H27" s="1656" t="str">
        <f>IF(H24="","",INDEX(DIFFERENTIATION_UNMERGE_SYSTEM,MATCH(H24,DIFFERENTIATION_ID_DIFF,0)))</f>
        <v/>
      </c>
      <c r="I27" s="1656" t="str">
        <f>IF(I24="","",INDEX(DIFFERENTIATION_UNMERGE_SYSTEM,MATCH(I24,DIFFERENTIATION_ID_DIFF,0)))</f>
        <v>Централизованная система водоснабжения Барабашского сельского поселения</v>
      </c>
      <c r="J27" s="2410" t="str">
        <f>IF(J24="","",INDEX(DIFFERENTIATION_UNMERGE_SYSTEM,MATCH(J24,DIFFERENTIATION_ID_DIFF,0)))</f>
        <v>Черниговский МР</v>
      </c>
      <c r="K27" s="2410" t="str">
        <f>IF(K24="","",INDEX(DIFFERENTIATION_UNMERGE_SYSTEM,MATCH(K24,DIFFERENTIATION_ID_DIFF,0)))</f>
        <v> Городской округ Спасск-Дальний, Городской округ Спасск-Дальний (05720000)</v>
      </c>
      <c r="L27" s="2410" t="str">
        <f>IF(L24="","",INDEX(DIFFERENTIATION_UNMERGE_SYSTEM,MATCH(L24,DIFFERENTIATION_ID_DIFF,0)))</f>
        <v>Анучинский муниципальный округ, Анучинский муниципальный округ (05502000)</v>
      </c>
      <c r="M27" s="2410" t="str">
        <f>IF(M24="","",INDEX(DIFFERENTIATION_UNMERGE_SYSTEM,MATCH(M24,DIFFERENTIATION_ID_DIFF,0)))</f>
        <v>Централизованная система водоснабжения Барабашского сельского поселения.Военный городок</v>
      </c>
      <c r="N27" s="2410" t="str">
        <f>IF(N24="","",INDEX(DIFFERENTIATION_UNMERGE_SYSTEM,MATCH(N24,DIFFERENTIATION_ID_DIFF,0)))</f>
        <v>Централизованная система водоснабжения Безверховского сельского поселения</v>
      </c>
      <c r="O27" s="2410" t="str">
        <f>IF(O24="","",INDEX(DIFFERENTIATION_UNMERGE_SYSTEM,MATCH(O24,DIFFERENTIATION_ID_DIFF,0)))</f>
        <v>Централизованная система водоснабжения Краскинского городского поселения</v>
      </c>
      <c r="P27" s="2410" t="str">
        <f>IF(P24="","",INDEX(DIFFERENTIATION_UNMERGE_SYSTEM,MATCH(P24,DIFFERENTIATION_ID_DIFF,0)))</f>
        <v>Централизованная система водоснабжения Посьетского городского поселения</v>
      </c>
      <c r="Q27" s="2410" t="str">
        <f>IF(Q24="","",INDEX(DIFFERENTIATION_UNMERGE_SYSTEM,MATCH(Q24,DIFFERENTIATION_ID_DIFF,0)))</f>
        <v>Централизованная система водоснабжения Приморского городского поселения</v>
      </c>
      <c r="R27" s="2410" t="str">
        <f>IF(R24="","",INDEX(DIFFERENTIATION_UNMERGE_SYSTEM,MATCH(R24,DIFFERENTIATION_ID_DIFF,0)))</f>
        <v>Централизованная система водоснабжения пгт.Зарубино Хасанского муниципального округа</v>
      </c>
      <c r="S27" s="2410" t="str">
        <f>IF(S24="","",INDEX(DIFFERENTIATION_UNMERGE_SYSTEM,MATCH(S24,DIFFERENTIATION_ID_DIFF,0)))</f>
        <v>Централизованная система водоснабжения пгт. Хасан Хасанского муниципального округа</v>
      </c>
      <c r="T27" s="2410" t="str">
        <f>IF(T24="","",INDEX(DIFFERENTIATION_UNMERGE_SYSTEM,MATCH(T24,DIFFERENTIATION_ID_DIFF,0)))</f>
        <v>Централизованная система водоснабжения Анучинского сельского поселения</v>
      </c>
      <c r="U27" s="2410" t="str">
        <f>IF(U24="","",INDEX(DIFFERENTIATION_UNMERGE_SYSTEM,MATCH(U24,DIFFERENTIATION_ID_DIFF,0)))</f>
        <v>Централизованная система водоснабжения Романовского сельского поселения</v>
      </c>
      <c r="V27" s="2410" t="str">
        <f>IF(V24="","",INDEX(DIFFERENTIATION_UNMERGE_SYSTEM,MATCH(V24,DIFFERENTIATION_ID_DIFF,0)))</f>
        <v>Централизованная система водоснабжения городского округа ЗАТО город Фокино</v>
      </c>
      <c r="W27" s="2410" t="str">
        <f>IF(W24="","",INDEX(DIFFERENTIATION_UNMERGE_SYSTEM,MATCH(W24,DIFFERENTIATION_ID_DIFF,0)))</f>
        <v>Централизованная система водоснабжения Новошахтинского городского поселения</v>
      </c>
      <c r="X27" s="2410" t="str">
        <f>IF(X24="","",INDEX(DIFFERENTIATION_UNMERGE_SYSTEM,MATCH(X24,DIFFERENTIATION_ID_DIFF,0)))</f>
        <v>Централизованная система водоснабжения Дальнегорского городского округа</v>
      </c>
      <c r="Y27" s="2410" t="str">
        <f>IF(Y24="","",INDEX(DIFFERENTIATION_UNMERGE_SYSTEM,MATCH(Y24,DIFFERENTIATION_ID_DIFF,0)))</f>
        <v>Централизованная система водоснабжения Кавалеровского муниципального района</v>
      </c>
      <c r="Z27" s="2410" t="str">
        <f>IF(Z24="","",INDEX(DIFFERENTIATION_UNMERGE_SYSTEM,MATCH(Z24,DIFFERENTIATION_ID_DIFF,0)))</f>
        <v>Централизованная система водоснабжения Дмитриевского сельского поселения</v>
      </c>
      <c r="AA27" s="2410" t="str">
        <f>IF(AA24="","",INDEX(DIFFERENTIATION_UNMERGE_SYSTEM,MATCH(AA24,DIFFERENTIATION_ID_DIFF,0)))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B27" s="2410" t="str">
        <f>IF(AB24="","",INDEX(DIFFERENTIATION_UNMERGE_SYSTEM,MATCH(AB24,DIFFERENTIATION_ID_DIFF,0)))</f>
        <v>Централизованная система водоснабжения Глубинненского сельского поселения</v>
      </c>
      <c r="AC27" s="2410" t="str">
        <f>IF(AC24="","",INDEX(DIFFERENTIATION_UNMERGE_SYSTEM,MATCH(AC24,DIFFERENTIATION_ID_DIFF,0)))</f>
        <v>Централизованная система водоснабжения  Дальнереченского городского округа</v>
      </c>
      <c r="AD27" s="2410" t="str">
        <f>IF(AD24="","",INDEX(DIFFERENTIATION_UNMERGE_SYSTEM,MATCH(AD24,DIFFERENTIATION_ID_DIFF,0)))</f>
        <v>Централизованная истема водоснабжения Варфоломеевского сельского поселения (железнодорожная станция Варфоломеевка)</v>
      </c>
      <c r="AE27" s="2410" t="str">
        <f>IF(AE24="","",INDEX(DIFFERENTIATION_UNMERGE_SYSTEM,MATCH(AE24,DIFFERENTIATION_ID_DIFF,0)))</f>
        <v>Централизованная система водоснабжения Штыковского сельского поселения</v>
      </c>
      <c r="AF27" s="2410" t="str">
        <f>IF(AF24="","",INDEX(DIFFERENTIATION_UNMERGE_SYSTEM,MATCH(AF24,DIFFERENTIATION_ID_DIFF,0)))</f>
        <v>Централизованная система водоснабжения городского округа ЗАТО город Фокино (п.Путятин)</v>
      </c>
      <c r="AG27" s="2410" t="str">
        <f>IF(AG24="","",INDEX(DIFFERENTIATION_UNMERGE_SYSTEM,MATCH(AG24,DIFFERENTIATION_ID_DIFF,0)))</f>
        <v>Централизованная система водоснабжения Реттиховского сельского поселения</v>
      </c>
      <c r="AH27" s="2410" t="str">
        <f>IF(AH24="","",INDEX(DIFFERENTIATION_UNMERGE_SYSTEM,MATCH(AH24,DIFFERENTIATION_ID_DIFF,0)))</f>
        <v>Централизованная система водоснабжения Снегуровского сельского поселения </v>
      </c>
      <c r="AI27" s="2410" t="str">
        <f>IF(AI24="","",INDEX(DIFFERENTIATION_UNMERGE_SYSTEM,MATCH(AI24,DIFFERENTIATION_ID_DIFF,0)))</f>
        <v>Централизованная система водоснабжения Черниговского сельского поселения</v>
      </c>
      <c r="AJ27" s="2410" t="str">
        <f>IF(AJ24="","",INDEX(DIFFERENTIATION_UNMERGE_SYSTEM,MATCH(AJ24,DIFFERENTIATION_ID_DIFF,0)))</f>
        <v>Централизованная система водоснабжения городского округа Спасск-Дальний МКР Лазо</v>
      </c>
      <c r="AK27" s="2410" t="str">
        <f>IF(AK24="","",INDEX(DIFFERENTIATION_UNMERGE_SYSTEM,MATCH(AK24,DIFFERENTIATION_ID_DIFF,0)))</f>
        <v>Централизованная система водоснабжения  Дальнереченского городского округа (в.г.Графский)</v>
      </c>
      <c r="AL27" s="2410" t="str">
        <f>IF(AL24="","",INDEX(DIFFERENTIATION_UNMERGE_SYSTEM,MATCH(AL24,DIFFERENTIATION_ID_DIFF,0)))</f>
        <v>Городской округ Спасск-Дальний</v>
      </c>
      <c r="AM27" s="2410" t="str">
        <f>IF(AM24="","",INDEX(DIFFERENTIATION_UNMERGE_SYSTEM,MATCH(AM24,DIFFERENTIATION_ID_DIFF,0)))</f>
        <v>Дальнегорский ГО</v>
      </c>
      <c r="AN27" s="2410" t="str">
        <f>IF(AN24="","",INDEX(DIFFERENTIATION_UNMERGE_SYSTEM,MATCH(AN24,DIFFERENTIATION_ID_DIFF,0)))</f>
        <v>Кавалеровский МО</v>
      </c>
      <c r="AO27" s="2410" t="str">
        <f>IF(AO24="","",INDEX(DIFFERENTIATION_UNMERGE_SYSTEM,MATCH(AO24,DIFFERENTIATION_ID_DIFF,0)))</f>
        <v>Дальнереченский ГО</v>
      </c>
      <c r="AP27" s="2410" t="str">
        <f>IF(AP24="","",INDEX(DIFFERENTIATION_UNMERGE_SYSTEM,MATCH(AP24,DIFFERENTIATION_ID_DIFF,0)))</f>
        <v>пгт Посьет Хасанский муниципальный округ</v>
      </c>
      <c r="AQ27" s="2410" t="str">
        <f>IF(AQ24="","",INDEX(DIFFERENTIATION_UNMERGE_SYSTEM,MATCH(AQ24,DIFFERENTIATION_ID_DIFF,0)))</f>
        <v>Кавалеровский муниципальный район, Кавалеровкое городское поселение (05610151)</v>
      </c>
      <c r="AR27" s="2410" t="str">
        <f>IF(AR24="","",INDEX(DIFFERENTIATION_UNMERGE_SYSTEM,MATCH(AR24,DIFFERENTIATION_ID_DIFF,0)))</f>
        <v> Михайловский муниципальный район, Новошахтинское городское поселение (05620154)</v>
      </c>
      <c r="AS27" s="2410" t="str">
        <f>IF(AS24="","",INDEX(DIFFERENTIATION_UNMERGE_SYSTEM,MATCH(AS24,DIFFERENTIATION_ID_DIFF,0)))</f>
        <v>Городской округ ЗАТО г.Фокино (пгт. Путятин)</v>
      </c>
      <c r="AT27" s="2410" t="str">
        <f>IF(AT24="","",INDEX(DIFFERENTIATION_UNMERGE_SYSTEM,MATCH(AT24,DIFFERENTIATION_ID_DIFF,0)))</f>
        <v> Черниговский муниципальный район, Черниговское сельское поселение (05653425)</v>
      </c>
      <c r="AU27" s="2410" t="str">
        <f>IF(AU24="","",INDEX(DIFFERENTIATION_UNMERGE_SYSTEM,MATCH(AU24,DIFFERENTIATION_ID_DIFF,0)))</f>
        <v> Дальнегорский городской округ, Дальнегорский городской округ (05707000)</v>
      </c>
      <c r="AV27" s="2144"/>
      <c r="BR27" s="1635">
        <v>11</v>
      </c>
    </row>
    <row customHeight="1" ht="11.549999999999999">
      <c r="E28" s="2386" t="s">
        <v>438</v>
      </c>
      <c r="F28" s="2387"/>
      <c r="G28" s="2387"/>
      <c r="H28" s="1649"/>
      <c r="I28" s="1649"/>
      <c r="J28" s="2384"/>
      <c r="K28" s="2384"/>
      <c r="L28" s="2384"/>
      <c r="M28" s="2384"/>
      <c r="N28" s="2384"/>
      <c r="O28" s="2384"/>
      <c r="P28" s="2384"/>
      <c r="Q28" s="2384"/>
      <c r="R28" s="2384"/>
      <c r="S28" s="2384"/>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144"/>
      <c r="BR28" s="1635">
        <v>11</v>
      </c>
    </row>
    <row customHeight="1" ht="24">
      <c r="E29" s="1650" t="s">
        <v>87</v>
      </c>
      <c r="F29" s="1657" t="s">
        <v>440</v>
      </c>
      <c r="G29" s="1657" t="s">
        <v>704</v>
      </c>
      <c r="H29" s="1657" t="s">
        <v>441</v>
      </c>
      <c r="I29" s="1657" t="s">
        <v>441</v>
      </c>
      <c r="J29" s="2383" t="s">
        <v>441</v>
      </c>
      <c r="K29" s="2383" t="s">
        <v>441</v>
      </c>
      <c r="L29" s="2383" t="s">
        <v>441</v>
      </c>
      <c r="M29" s="2383" t="s">
        <v>441</v>
      </c>
      <c r="N29" s="2383" t="s">
        <v>441</v>
      </c>
      <c r="O29" s="2383" t="s">
        <v>441</v>
      </c>
      <c r="P29" s="2383" t="s">
        <v>441</v>
      </c>
      <c r="Q29" s="2383" t="s">
        <v>441</v>
      </c>
      <c r="R29" s="2383" t="s">
        <v>441</v>
      </c>
      <c r="S29" s="2383" t="s">
        <v>441</v>
      </c>
      <c r="T29" s="2383" t="s">
        <v>441</v>
      </c>
      <c r="U29" s="2383" t="s">
        <v>441</v>
      </c>
      <c r="V29" s="2383" t="s">
        <v>441</v>
      </c>
      <c r="W29" s="2383" t="s">
        <v>441</v>
      </c>
      <c r="X29" s="2383" t="s">
        <v>441</v>
      </c>
      <c r="Y29" s="2383" t="s">
        <v>441</v>
      </c>
      <c r="Z29" s="2383" t="s">
        <v>441</v>
      </c>
      <c r="AA29" s="2383" t="s">
        <v>441</v>
      </c>
      <c r="AB29" s="2383" t="s">
        <v>441</v>
      </c>
      <c r="AC29" s="2383" t="s">
        <v>441</v>
      </c>
      <c r="AD29" s="2383" t="s">
        <v>441</v>
      </c>
      <c r="AE29" s="2383" t="s">
        <v>441</v>
      </c>
      <c r="AF29" s="2383" t="s">
        <v>441</v>
      </c>
      <c r="AG29" s="2383" t="s">
        <v>441</v>
      </c>
      <c r="AH29" s="2383" t="s">
        <v>441</v>
      </c>
      <c r="AI29" s="2383" t="s">
        <v>441</v>
      </c>
      <c r="AJ29" s="2383" t="s">
        <v>441</v>
      </c>
      <c r="AK29" s="2383" t="s">
        <v>441</v>
      </c>
      <c r="AL29" s="2383" t="s">
        <v>441</v>
      </c>
      <c r="AM29" s="2383" t="s">
        <v>441</v>
      </c>
      <c r="AN29" s="2383" t="s">
        <v>441</v>
      </c>
      <c r="AO29" s="2383" t="s">
        <v>441</v>
      </c>
      <c r="AP29" s="2383" t="s">
        <v>441</v>
      </c>
      <c r="AQ29" s="2383" t="s">
        <v>441</v>
      </c>
      <c r="AR29" s="2383" t="s">
        <v>441</v>
      </c>
      <c r="AS29" s="2383" t="s">
        <v>441</v>
      </c>
      <c r="AT29" s="2383" t="s">
        <v>441</v>
      </c>
      <c r="AU29" s="2383" t="s">
        <v>441</v>
      </c>
      <c r="AV29" s="2144"/>
      <c r="BR29" s="1635">
        <v>23</v>
      </c>
    </row>
    <row customHeight="1" ht="20.25">
      <c r="D30" s="1642"/>
      <c r="E30" s="550">
        <f>FHD_NUM_P_1</f>
        <v>1</v>
      </c>
      <c r="F30" s="1881" t="str">
        <f>FHD_P_1</f>
        <v>Выручка от регулируемых видов деятельности в сфере холодного водоснабжения</v>
      </c>
      <c r="G30" s="1879" t="s">
        <v>690</v>
      </c>
      <c r="H30" s="561"/>
      <c r="I30" s="561">
        <v>459.42</v>
      </c>
      <c r="J30" s="561">
        <v>208.74</v>
      </c>
      <c r="K30" s="561">
        <v>3838.52</v>
      </c>
      <c r="L30" s="561">
        <v>574.03</v>
      </c>
      <c r="M30" s="561">
        <v>2247.26</v>
      </c>
      <c r="N30" s="561">
        <v>1208.54</v>
      </c>
      <c r="O30" s="561">
        <v>3237.79</v>
      </c>
      <c r="P30" s="561">
        <v>1192.43</v>
      </c>
      <c r="Q30" s="561">
        <v>1106.69</v>
      </c>
      <c r="R30" s="561">
        <v>3694.07</v>
      </c>
      <c r="S30" s="561">
        <v>1727.21</v>
      </c>
      <c r="T30" s="561">
        <v>3743.65</v>
      </c>
      <c r="U30" s="561">
        <v>2774.39</v>
      </c>
      <c r="V30" s="561">
        <v>71969.45</v>
      </c>
      <c r="W30" s="561">
        <v>12579.79</v>
      </c>
      <c r="X30" s="561">
        <v>59934.35</v>
      </c>
      <c r="Y30" s="561">
        <v>28035.36</v>
      </c>
      <c r="Z30" s="561">
        <v>2358.89</v>
      </c>
      <c r="AA30" s="561">
        <v>59353.65</v>
      </c>
      <c r="AB30" s="561">
        <v>18.2</v>
      </c>
      <c r="AC30" s="561">
        <v>20129.66</v>
      </c>
      <c r="AD30" s="561">
        <v>890.44</v>
      </c>
      <c r="AE30" s="561">
        <v>424.35</v>
      </c>
      <c r="AF30" s="561">
        <v>478.98</v>
      </c>
      <c r="AG30" s="561">
        <v>1966.44</v>
      </c>
      <c r="AH30" s="561">
        <v>421.82</v>
      </c>
      <c r="AI30" s="561">
        <v>8357.37</v>
      </c>
      <c r="AJ30" s="561">
        <v>7528.62</v>
      </c>
      <c r="AK30" s="561">
        <v>848.96</v>
      </c>
      <c r="AL30" s="561">
        <v>1369.4</v>
      </c>
      <c r="AM30" s="561">
        <v>318.58</v>
      </c>
      <c r="AN30" s="561">
        <v>31.93</v>
      </c>
      <c r="AO30" s="561">
        <v>3.33</v>
      </c>
      <c r="AP30" s="561">
        <v>7.9</v>
      </c>
      <c r="AQ30" s="561">
        <v>313.19</v>
      </c>
      <c r="AR30" s="561">
        <v>67.16</v>
      </c>
      <c r="AS30" s="561">
        <v>81.13</v>
      </c>
      <c r="AT30" s="561">
        <v>813.5</v>
      </c>
      <c r="AU30" s="561">
        <v>43.44</v>
      </c>
      <c r="AV30" s="293" t="str">
        <f>FHD_NOTE_P_1</f>
        <v>Указывается выручка с распределением по видам деятельности.</v>
      </c>
      <c r="AW30" s="547"/>
      <c r="BR30" s="1635">
        <v>19</v>
      </c>
    </row>
    <row customHeight="1" ht="11.549999999999999">
      <c r="D31" s="1642"/>
      <c r="E31" s="550">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690</v>
      </c>
      <c r="H31" s="562">
        <f>SUMIF($AW32:$AW77,$AW31,H32:H77)</f>
        <v>0</v>
      </c>
      <c r="I31" s="562">
        <f>SUMIF($AW32:$AW77,$AW31,I32:I77)</f>
        <v>3343.29</v>
      </c>
      <c r="J31" s="562">
        <f>SUMIF($AW32:$AW77,$AW31,J32:J77)</f>
        <v>0</v>
      </c>
      <c r="K31" s="562">
        <f>SUMIF($AW32:$AW77,$AW31,K32:K77)</f>
        <v>25048.53</v>
      </c>
      <c r="L31" s="562">
        <f>SUMIF($AW32:$AW77,$AW31,L32:L77)</f>
        <v>2205.74</v>
      </c>
      <c r="M31" s="562">
        <f>SUMIF($AW32:$AW77,$AW31,M32:M77)</f>
        <v>7271.24</v>
      </c>
      <c r="N31" s="562">
        <f>SUMIF($AW32:$AW77,$AW31,N32:N77)</f>
        <v>5309.97</v>
      </c>
      <c r="O31" s="562">
        <f>SUMIF($AW32:$AW77,$AW31,O32:O77)</f>
        <v>7068.25</v>
      </c>
      <c r="P31" s="562">
        <f>SUMIF($AW32:$AW77,$AW31,P32:P77)</f>
        <v>7118.99</v>
      </c>
      <c r="Q31" s="562">
        <f>SUMIF($AW32:$AW77,$AW31,Q32:Q77)</f>
        <v>5263.91</v>
      </c>
      <c r="R31" s="562">
        <f>SUMIF($AW32:$AW77,$AW31,R32:R77)</f>
        <v>11725.62</v>
      </c>
      <c r="S31" s="562">
        <f>SUMIF($AW32:$AW77,$AW31,S32:S77)</f>
        <v>7351.02</v>
      </c>
      <c r="T31" s="562">
        <f>SUMIF($AW32:$AW77,$AW31,T32:T77)</f>
        <v>5438.01</v>
      </c>
      <c r="U31" s="562">
        <f>SUMIF($AW32:$AW77,$AW31,U32:U77)</f>
        <v>6245.42</v>
      </c>
      <c r="V31" s="562">
        <f>SUMIF($AW32:$AW77,$AW31,V32:V77)</f>
        <v>182928.72</v>
      </c>
      <c r="W31" s="562">
        <f>SUMIF($AW32:$AW77,$AW31,W32:W77)</f>
        <v>45748.77</v>
      </c>
      <c r="X31" s="562">
        <f>SUMIF($AW32:$AW77,$AW31,X32:X77)</f>
        <v>177590.27</v>
      </c>
      <c r="Y31" s="562">
        <f>SUMIF($AW32:$AW77,$AW31,Y32:Y77)</f>
        <v>41489.98</v>
      </c>
      <c r="Z31" s="562">
        <f>SUMIF($AW32:$AW77,$AW31,Z32:Z77)</f>
        <v>6827.26</v>
      </c>
      <c r="AA31" s="562">
        <f>SUMIF($AW32:$AW77,$AW31,AA32:AA77)</f>
        <v>127735.46</v>
      </c>
      <c r="AB31" s="562">
        <f>SUMIF($AW32:$AW77,$AW31,AB32:AB77)</f>
        <v>967.34</v>
      </c>
      <c r="AC31" s="562">
        <f>SUMIF($AW32:$AW77,$AW31,AC32:AC77)</f>
        <v>49080.08</v>
      </c>
      <c r="AD31" s="562">
        <f>SUMIF($AW32:$AW77,$AW31,AD32:AD77)</f>
        <v>2055.28</v>
      </c>
      <c r="AE31" s="562">
        <f>SUMIF($AW32:$AW77,$AW31,AE32:AE77)</f>
        <v>275.24</v>
      </c>
      <c r="AF31" s="562">
        <f>SUMIF($AW32:$AW77,$AW31,AF32:AF77)</f>
        <v>2229.68</v>
      </c>
      <c r="AG31" s="562">
        <f>SUMIF($AW32:$AW77,$AW31,AG32:AG77)</f>
        <v>7209.41</v>
      </c>
      <c r="AH31" s="562">
        <f>SUMIF($AW32:$AW77,$AW31,AH32:AH77)</f>
        <v>2080.56</v>
      </c>
      <c r="AI31" s="562">
        <f>SUMIF($AW32:$AW77,$AW31,AI32:AI77)</f>
        <v>10115.23</v>
      </c>
      <c r="AJ31" s="562">
        <f>SUMIF($AW32:$AW77,$AW31,AJ32:AJ77)</f>
        <v>18691.09</v>
      </c>
      <c r="AK31" s="562">
        <f>SUMIF($AW32:$AW77,$AW31,AK32:AK77)</f>
        <v>4636.97</v>
      </c>
      <c r="AL31" s="562">
        <f>SUMIF($AW32:$AW77,$AW31,AL32:AL77)</f>
        <v>149.57</v>
      </c>
      <c r="AM31" s="562">
        <f>SUMIF($AW32:$AW77,$AW31,AM32:AM77)</f>
        <v>0</v>
      </c>
      <c r="AN31" s="562">
        <f>SUMIF($AW32:$AW77,$AW31,AN32:AN77)</f>
        <v>0</v>
      </c>
      <c r="AO31" s="562">
        <f>SUMIF($AW32:$AW77,$AW31,AO32:AO77)</f>
        <v>3.33</v>
      </c>
      <c r="AP31" s="562">
        <f>SUMIF($AW32:$AW77,$AW31,AP32:AP77)</f>
        <v>0</v>
      </c>
      <c r="AQ31" s="562">
        <f>SUMIF($AW32:$AW77,$AW31,AQ32:AQ77)</f>
        <v>1263.32</v>
      </c>
      <c r="AR31" s="562">
        <f>SUMIF($AW32:$AW77,$AW31,AR32:AR77)</f>
        <v>556.95</v>
      </c>
      <c r="AS31" s="562">
        <f>SUMIF($AW32:$AW77,$AW31,AS32:AS77)</f>
        <v>342.55</v>
      </c>
      <c r="AT31" s="562">
        <f>SUMIF($AW32:$AW77,$AW31,AT32:AT77)</f>
        <v>1130.89</v>
      </c>
      <c r="AU31" s="562">
        <f>SUMIF($AW32:$AW77,$AW31,AU32:AU77)</f>
        <v>132.24</v>
      </c>
      <c r="AV31" s="293" t="str">
        <f>FHD_NOTE_P_2</f>
        <v>Указывается суммарная себестоимость производимых товаров.</v>
      </c>
      <c r="AW31" s="1640" t="s">
        <v>705</v>
      </c>
      <c r="BR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79" t="s">
        <v>690</v>
      </c>
      <c r="H32" s="561"/>
      <c r="I32" s="561">
        <v>0</v>
      </c>
      <c r="J32" s="561">
        <v>0</v>
      </c>
      <c r="K32" s="561">
        <v>0</v>
      </c>
      <c r="L32" s="561">
        <v>0</v>
      </c>
      <c r="M32" s="561">
        <v>0</v>
      </c>
      <c r="N32" s="561">
        <v>0</v>
      </c>
      <c r="O32" s="561">
        <v>0</v>
      </c>
      <c r="P32" s="561">
        <v>0</v>
      </c>
      <c r="Q32" s="561">
        <v>0</v>
      </c>
      <c r="R32" s="561">
        <v>0</v>
      </c>
      <c r="S32" s="561">
        <v>0</v>
      </c>
      <c r="T32" s="561">
        <v>0</v>
      </c>
      <c r="U32" s="561">
        <v>0</v>
      </c>
      <c r="V32" s="561">
        <v>0</v>
      </c>
      <c r="W32" s="561">
        <v>0</v>
      </c>
      <c r="X32" s="561">
        <v>106.25</v>
      </c>
      <c r="Y32" s="561">
        <v>0</v>
      </c>
      <c r="Z32" s="561">
        <v>0</v>
      </c>
      <c r="AA32" s="561">
        <v>0</v>
      </c>
      <c r="AB32" s="561">
        <v>0</v>
      </c>
      <c r="AC32" s="561">
        <v>0</v>
      </c>
      <c r="AD32" s="561">
        <v>0</v>
      </c>
      <c r="AE32" s="561">
        <v>0</v>
      </c>
      <c r="AF32" s="561">
        <v>0</v>
      </c>
      <c r="AG32" s="561">
        <v>0</v>
      </c>
      <c r="AH32" s="561">
        <v>0</v>
      </c>
      <c r="AI32" s="561">
        <v>0</v>
      </c>
      <c r="AJ32" s="561">
        <v>0</v>
      </c>
      <c r="AK32" s="561">
        <v>0</v>
      </c>
      <c r="AL32" s="561">
        <v>0</v>
      </c>
      <c r="AM32" s="561">
        <v>0</v>
      </c>
      <c r="AN32" s="561">
        <v>0</v>
      </c>
      <c r="AO32" s="561">
        <v>0</v>
      </c>
      <c r="AP32" s="561">
        <v>0</v>
      </c>
      <c r="AQ32" s="561">
        <v>0</v>
      </c>
      <c r="AR32" s="561">
        <v>0</v>
      </c>
      <c r="AS32" s="561">
        <v>0</v>
      </c>
      <c r="AT32" s="561">
        <v>0</v>
      </c>
      <c r="AU32" s="561">
        <v>0</v>
      </c>
      <c r="AV32" s="293" t="str">
        <f>FHD_NOTE_P_3</f>
        <v/>
      </c>
      <c r="AW32" s="1640" t="str">
        <f>IF((LEN(E32)-LEN(SUBSTITUTE(E32,".","")))/LEN(".")=1,"p","")</f>
        <v>p</v>
      </c>
      <c r="BR32" s="1635">
        <v>11</v>
      </c>
    </row>
    <row customHeight="1" ht="11.25" hidden="1">
      <c r="A33" s="2388" t="s">
        <v>706</v>
      </c>
      <c r="D33" s="1642"/>
      <c r="E33" s="550" t="str">
        <f>FHD_NUM_P_4</f>
        <v/>
      </c>
      <c r="F33" s="1528" t="str">
        <f>FHD_P_4</f>
        <v/>
      </c>
      <c r="G33" s="1879" t="s">
        <v>690</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562">
        <f>SUMIF($F34:$F40,$F3,X34:X40)</f>
        <v>0</v>
      </c>
      <c r="Y33" s="562">
        <f>SUMIF($F34:$F40,$F3,Y34:Y40)</f>
        <v>0</v>
      </c>
      <c r="Z33" s="562">
        <f>SUMIF($F34:$F40,$F3,Z34:Z40)</f>
        <v>0</v>
      </c>
      <c r="AA33" s="562">
        <f>SUMIF($F34:$F40,$F3,AA34:AA40)</f>
        <v>0</v>
      </c>
      <c r="AB33" s="562">
        <f>SUMIF($F34:$F40,$F3,AB34:AB40)</f>
        <v>0</v>
      </c>
      <c r="AC33" s="562">
        <f>SUMIF($F34:$F40,$F3,AC34:AC40)</f>
        <v>0</v>
      </c>
      <c r="AD33" s="562">
        <f>SUMIF($F34:$F40,$F3,AD34:AD40)</f>
        <v>0</v>
      </c>
      <c r="AE33" s="562">
        <f>SUMIF($F34:$F40,$F3,AE34:AE40)</f>
        <v>0</v>
      </c>
      <c r="AF33" s="562">
        <f>SUMIF($F34:$F40,$F3,AF34:AF40)</f>
        <v>0</v>
      </c>
      <c r="AG33" s="562">
        <f>SUMIF($F34:$F40,$F3,AG34:AG40)</f>
        <v>0</v>
      </c>
      <c r="AH33" s="562">
        <f>SUMIF($F34:$F40,$F3,AH34:AH40)</f>
        <v>0</v>
      </c>
      <c r="AI33" s="562">
        <f>SUMIF($F34:$F40,$F3,AI34:AI40)</f>
        <v>0</v>
      </c>
      <c r="AJ33" s="562">
        <f>SUMIF($F34:$F40,$F3,AJ34:AJ40)</f>
        <v>0</v>
      </c>
      <c r="AK33" s="562">
        <f>SUMIF($F34:$F40,$F3,AK34:AK40)</f>
        <v>0</v>
      </c>
      <c r="AL33" s="562">
        <f>SUMIF($F34:$F40,$F3,AL34:AL40)</f>
        <v>0</v>
      </c>
      <c r="AM33" s="562">
        <f>SUMIF($F34:$F40,$F3,AM34:AM40)</f>
        <v>0</v>
      </c>
      <c r="AN33" s="562">
        <f>SUMIF($F34:$F40,$F3,AN34:AN40)</f>
        <v>0</v>
      </c>
      <c r="AO33" s="562">
        <f>SUMIF($F34:$F40,$F3,AO34:AO40)</f>
        <v>0</v>
      </c>
      <c r="AP33" s="562">
        <f>SUMIF($F34:$F40,$F3,AP34:AP40)</f>
        <v>0</v>
      </c>
      <c r="AQ33" s="562">
        <f>SUMIF($F34:$F40,$F3,AQ34:AQ40)</f>
        <v>0</v>
      </c>
      <c r="AR33" s="562">
        <f>SUMIF($F34:$F40,$F3,AR34:AR40)</f>
        <v>0</v>
      </c>
      <c r="AS33" s="562">
        <f>SUMIF($F34:$F40,$F3,AS34:AS40)</f>
        <v>0</v>
      </c>
      <c r="AT33" s="562">
        <f>SUMIF($F34:$F40,$F3,AT34:AT40)</f>
        <v>0</v>
      </c>
      <c r="AU33" s="562">
        <f>SUMIF($F34:$F40,$F3,AU34:AU40)</f>
        <v>0</v>
      </c>
      <c r="AV33" s="293" t="str">
        <f>FHD_NOTE_P_4</f>
        <v/>
      </c>
      <c r="AW33" s="1640" t="str">
        <f>IF((LEN(E33)-LEN(SUBSTITUTE(E33,".","")))/LEN(".")=1,"p","")</f>
        <v/>
      </c>
      <c r="BR33" s="1635">
        <v>0</v>
      </c>
    </row>
    <row s="1645" customFormat="1" customHeight="1" ht="0.75" hidden="1">
      <c r="A34" s="2388"/>
      <c r="B34" s="2389" t="str">
        <f>E33&amp;".0"</f>
        <v>.0</v>
      </c>
      <c r="C34" s="1171"/>
      <c r="D34" s="564"/>
      <c r="E34" s="565"/>
      <c r="F34" s="566"/>
      <c r="G34" s="567"/>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68"/>
      <c r="AW34" s="1640" t="str">
        <f>IF((LEN(E34)-LEN(SUBSTITUTE(E34,".","")))/LEN(".")=1,"p","")</f>
        <v/>
      </c>
      <c r="AX34" s="1640"/>
      <c r="AY34" s="1640"/>
      <c r="AZ34" s="1640"/>
      <c r="BA34" s="1640"/>
      <c r="BB34" s="1640"/>
      <c r="BC34" s="1640"/>
      <c r="BD34" s="1640"/>
      <c r="BE34" s="1640"/>
      <c r="BF34" s="1640"/>
      <c r="BG34" s="569"/>
      <c r="BH34" s="1640"/>
      <c r="BI34" s="1640"/>
      <c r="BJ34" s="1640"/>
      <c r="BK34" s="1640"/>
      <c r="BL34" s="1640"/>
      <c r="BM34" s="570"/>
      <c r="BN34" s="570"/>
      <c r="BO34" s="570"/>
      <c r="BP34" s="570"/>
      <c r="BQ34" s="570"/>
      <c r="BR34" s="1645">
        <v>0</v>
      </c>
    </row>
    <row s="1645" customFormat="1" customHeight="1" ht="0.75" hidden="1">
      <c r="A35" s="2388"/>
      <c r="B35" s="2389"/>
      <c r="C35" s="1171"/>
      <c r="D35" s="564"/>
      <c r="E35" s="571"/>
      <c r="F35" s="572"/>
      <c r="G35" s="56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68"/>
      <c r="AW35" s="1640" t="str">
        <f>IF((LEN(E35)-LEN(SUBSTITUTE(E35,".","")))/LEN(".")=1,"p","")</f>
        <v/>
      </c>
      <c r="AX35" s="1640"/>
      <c r="AY35" s="1640"/>
      <c r="AZ35" s="1640"/>
      <c r="BA35" s="1640"/>
      <c r="BB35" s="1640"/>
      <c r="BC35" s="1640"/>
      <c r="BD35" s="1640"/>
      <c r="BE35" s="1640"/>
      <c r="BF35" s="1640"/>
      <c r="BG35" s="569"/>
      <c r="BH35" s="1640"/>
      <c r="BI35" s="1640"/>
      <c r="BJ35" s="1640"/>
      <c r="BK35" s="1640"/>
      <c r="BL35" s="1640"/>
      <c r="BM35" s="570"/>
      <c r="BN35" s="570"/>
      <c r="BO35" s="570"/>
      <c r="BP35" s="570"/>
      <c r="BQ35" s="570"/>
      <c r="BR35" s="1645">
        <v>0</v>
      </c>
    </row>
    <row s="1645" customFormat="1" customHeight="1" ht="0.75" hidden="1">
      <c r="A36" s="2388"/>
      <c r="B36" s="2389"/>
      <c r="C36" s="1171"/>
      <c r="D36" s="564"/>
      <c r="E36" s="571"/>
      <c r="F36" s="572"/>
      <c r="G36" s="56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68"/>
      <c r="AW36" s="1640" t="str">
        <f>IF((LEN(E36)-LEN(SUBSTITUTE(E36,".","")))/LEN(".")=1,"p","")</f>
        <v/>
      </c>
      <c r="AX36" s="1640"/>
      <c r="AY36" s="1640"/>
      <c r="AZ36" s="1640"/>
      <c r="BA36" s="1640"/>
      <c r="BB36" s="1640"/>
      <c r="BC36" s="1640"/>
      <c r="BD36" s="1640"/>
      <c r="BE36" s="1640"/>
      <c r="BF36" s="1640"/>
      <c r="BG36" s="569"/>
      <c r="BH36" s="1640"/>
      <c r="BI36" s="1640"/>
      <c r="BJ36" s="1640"/>
      <c r="BK36" s="1640"/>
      <c r="BL36" s="1640"/>
      <c r="BM36" s="570"/>
      <c r="BN36" s="570"/>
      <c r="BO36" s="570"/>
      <c r="BP36" s="570"/>
      <c r="BQ36" s="570"/>
      <c r="BR36" s="1645">
        <v>0</v>
      </c>
    </row>
    <row s="1645" customFormat="1" customHeight="1" ht="0.75" hidden="1">
      <c r="A37" s="2388"/>
      <c r="B37" s="2389"/>
      <c r="C37" s="1171"/>
      <c r="D37" s="564"/>
      <c r="E37" s="571"/>
      <c r="F37" s="572"/>
      <c r="G37" s="567"/>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68"/>
      <c r="AW37" s="1640" t="str">
        <f>IF((LEN(E37)-LEN(SUBSTITUTE(E37,".","")))/LEN(".")=1,"p","")</f>
        <v/>
      </c>
      <c r="AX37" s="1640"/>
      <c r="AY37" s="1640"/>
      <c r="AZ37" s="1640"/>
      <c r="BA37" s="1640"/>
      <c r="BB37" s="1640"/>
      <c r="BC37" s="1640"/>
      <c r="BD37" s="1640"/>
      <c r="BE37" s="1640"/>
      <c r="BF37" s="1640"/>
      <c r="BG37" s="569"/>
      <c r="BH37" s="1640"/>
      <c r="BI37" s="1640"/>
      <c r="BJ37" s="1640"/>
      <c r="BK37" s="1640"/>
      <c r="BL37" s="1640"/>
      <c r="BM37" s="570"/>
      <c r="BN37" s="570"/>
      <c r="BO37" s="570"/>
      <c r="BP37" s="570"/>
      <c r="BQ37" s="570"/>
      <c r="BR37" s="1645">
        <v>0</v>
      </c>
    </row>
    <row s="1645" customFormat="1" customHeight="1" ht="0.75" hidden="1">
      <c r="A38" s="2388"/>
      <c r="B38" s="2389"/>
      <c r="C38" s="1171"/>
      <c r="D38" s="564"/>
      <c r="E38" s="571"/>
      <c r="F38" s="572"/>
      <c r="G38" s="567"/>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68"/>
      <c r="AW38" s="1640" t="str">
        <f>IF((LEN(E38)-LEN(SUBSTITUTE(E38,".","")))/LEN(".")=1,"p","")</f>
        <v/>
      </c>
      <c r="AX38" s="1640"/>
      <c r="AY38" s="1640"/>
      <c r="AZ38" s="1640"/>
      <c r="BA38" s="1640"/>
      <c r="BB38" s="1640"/>
      <c r="BC38" s="1640"/>
      <c r="BD38" s="1640"/>
      <c r="BE38" s="1640"/>
      <c r="BF38" s="1640"/>
      <c r="BG38" s="569"/>
      <c r="BH38" s="1640"/>
      <c r="BI38" s="1640"/>
      <c r="BJ38" s="1640"/>
      <c r="BK38" s="1640"/>
      <c r="BL38" s="1640"/>
      <c r="BM38" s="570"/>
      <c r="BN38" s="570"/>
      <c r="BO38" s="570"/>
      <c r="BP38" s="570"/>
      <c r="BQ38" s="570"/>
      <c r="BR38" s="1645">
        <v>0</v>
      </c>
    </row>
    <row s="1645" customFormat="1" customHeight="1" ht="0.75" hidden="1">
      <c r="A39" s="2388"/>
      <c r="B39" s="2389"/>
      <c r="C39" s="1171"/>
      <c r="D39" s="564"/>
      <c r="E39" s="571"/>
      <c r="F39" s="572"/>
      <c r="G39" s="567"/>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68"/>
      <c r="AW39" s="1640" t="str">
        <f>IF((LEN(E39)-LEN(SUBSTITUTE(E39,".","")))/LEN(".")=1,"p","")</f>
        <v/>
      </c>
      <c r="AX39" s="1640"/>
      <c r="AY39" s="1640"/>
      <c r="AZ39" s="1640"/>
      <c r="BA39" s="1640"/>
      <c r="BB39" s="1640"/>
      <c r="BC39" s="1640"/>
      <c r="BD39" s="1640"/>
      <c r="BE39" s="1640"/>
      <c r="BF39" s="1640"/>
      <c r="BG39" s="569"/>
      <c r="BH39" s="1640"/>
      <c r="BI39" s="1640"/>
      <c r="BJ39" s="1640"/>
      <c r="BK39" s="1640"/>
      <c r="BL39" s="1640"/>
      <c r="BM39" s="570"/>
      <c r="BN39" s="570"/>
      <c r="BO39" s="570"/>
      <c r="BP39" s="570"/>
      <c r="BQ39" s="570"/>
      <c r="BR39" s="1645">
        <v>0</v>
      </c>
    </row>
    <row s="1370" customFormat="1" customHeight="1" ht="15" hidden="1">
      <c r="A40" s="2388"/>
      <c r="C40" s="1640"/>
      <c r="D40" s="1637"/>
      <c r="E40" s="574"/>
      <c r="F40" s="575" t="s">
        <v>707</v>
      </c>
      <c r="G40" s="576"/>
      <c r="H40" s="577"/>
      <c r="I40" s="577"/>
      <c r="J40" s="2652"/>
      <c r="K40" s="2653"/>
      <c r="L40" s="2654"/>
      <c r="M40" s="2655"/>
      <c r="N40" s="2656"/>
      <c r="O40" s="2657"/>
      <c r="P40" s="2658"/>
      <c r="Q40" s="2659"/>
      <c r="R40" s="2660"/>
      <c r="S40" s="2661"/>
      <c r="T40" s="2662"/>
      <c r="U40" s="2663"/>
      <c r="V40" s="2664"/>
      <c r="W40" s="2665"/>
      <c r="X40" s="2666"/>
      <c r="Y40" s="2667"/>
      <c r="Z40" s="2668"/>
      <c r="AA40" s="2669"/>
      <c r="AB40" s="2670"/>
      <c r="AC40" s="2671"/>
      <c r="AD40" s="2672"/>
      <c r="AE40" s="2673"/>
      <c r="AF40" s="2674"/>
      <c r="AG40" s="2675"/>
      <c r="AH40" s="2676"/>
      <c r="AI40" s="2677"/>
      <c r="AJ40" s="2678"/>
      <c r="AK40" s="2679"/>
      <c r="AL40" s="2680"/>
      <c r="AM40" s="2681"/>
      <c r="AN40" s="2683"/>
      <c r="AO40" s="2684"/>
      <c r="AP40" s="2686"/>
      <c r="AQ40" s="2688"/>
      <c r="AR40" s="2689"/>
      <c r="AS40" s="2690"/>
      <c r="AT40" s="2691"/>
      <c r="AU40" s="2692"/>
      <c r="AV40" s="305"/>
      <c r="AW40" s="1640" t="str">
        <f>IF((LEN(E40)-LEN(SUBSTITUTE(E40,".","")))/LEN(".")=1,"p","")</f>
        <v/>
      </c>
      <c r="AX40" s="1640"/>
      <c r="AY40" s="1640"/>
      <c r="BD40" s="1640"/>
      <c r="BG40" s="548"/>
      <c r="BM40" s="1636"/>
      <c r="BN40" s="1636"/>
      <c r="BO40" s="1636"/>
      <c r="BP40" s="1636"/>
      <c r="BQ40" s="1636"/>
      <c r="BR40" s="1164">
        <v>0</v>
      </c>
    </row>
    <row customHeight="1" ht="11.25" hidden="1">
      <c r="A41" s="2388" t="s">
        <v>708</v>
      </c>
      <c r="D41" s="1642"/>
      <c r="E41" s="550" t="str">
        <f>FHD_NUM_P_5</f>
        <v/>
      </c>
      <c r="F41" s="1528" t="str">
        <f>FHD_P_5</f>
        <v/>
      </c>
      <c r="G41" s="1879" t="s">
        <v>690</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293" t="str">
        <f>FHD_NOTE_P_5</f>
        <v/>
      </c>
      <c r="AW41" s="1640" t="str">
        <f>IF((LEN(E41)-LEN(SUBSTITUTE(E41,".","")))/LEN(".")=1,"p","")</f>
        <v/>
      </c>
      <c r="BR41" s="1635">
        <v>0</v>
      </c>
    </row>
    <row customHeight="1" ht="11.25" hidden="1">
      <c r="A42" s="2388"/>
      <c r="D42" s="1642"/>
      <c r="E42" s="550" t="str">
        <f>FHD_NUM_P_6</f>
        <v/>
      </c>
      <c r="F42" s="1528" t="str">
        <f>FHD_P_6</f>
        <v/>
      </c>
      <c r="G42" s="1879" t="s">
        <v>690</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293" t="str">
        <f>FHD_NOTE_P_6</f>
        <v/>
      </c>
      <c r="AW42" s="1640" t="str">
        <f>IF((LEN(E42)-LEN(SUBSTITUTE(E42,".","")))/LEN(".")=1,"p","")</f>
        <v/>
      </c>
      <c r="BR42" s="1635">
        <v>0</v>
      </c>
    </row>
    <row customHeight="1" ht="11.25" hidden="1">
      <c r="A43" s="2388"/>
      <c r="D43" s="1642"/>
      <c r="E43" s="550" t="str">
        <f>FHD_NUM_P_7</f>
        <v/>
      </c>
      <c r="F43" s="1528" t="str">
        <f>FHD_P_7</f>
        <v/>
      </c>
      <c r="G43" s="1879" t="s">
        <v>690</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293" t="str">
        <f>FHD_NOTE_P_7</f>
        <v/>
      </c>
      <c r="AW43" s="1640" t="str">
        <f>IF((LEN(E43)-LEN(SUBSTITUTE(E43,".","")))/LEN(".")=1,"p","")</f>
        <v/>
      </c>
      <c r="BR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690</v>
      </c>
      <c r="H44" s="561"/>
      <c r="I44" s="561">
        <v>267.17</v>
      </c>
      <c r="J44" s="561">
        <v>0</v>
      </c>
      <c r="K44" s="561">
        <v>9854.15</v>
      </c>
      <c r="L44" s="561">
        <v>0</v>
      </c>
      <c r="M44" s="561">
        <v>2711.81</v>
      </c>
      <c r="N44" s="561">
        <v>550.39</v>
      </c>
      <c r="O44" s="561">
        <v>2815.71</v>
      </c>
      <c r="P44" s="561">
        <v>1101.72</v>
      </c>
      <c r="Q44" s="561">
        <v>991.83</v>
      </c>
      <c r="R44" s="561">
        <v>3261.98</v>
      </c>
      <c r="S44" s="561">
        <v>608.77</v>
      </c>
      <c r="T44" s="561">
        <v>1050.29</v>
      </c>
      <c r="U44" s="561">
        <v>1824.39</v>
      </c>
      <c r="V44" s="561">
        <v>35701.16</v>
      </c>
      <c r="W44" s="561">
        <v>8565.79</v>
      </c>
      <c r="X44" s="561">
        <v>40323.81</v>
      </c>
      <c r="Y44" s="561">
        <v>5117.19</v>
      </c>
      <c r="Z44" s="561">
        <v>502.61</v>
      </c>
      <c r="AA44" s="561">
        <v>18318</v>
      </c>
      <c r="AB44" s="561">
        <v>61.99</v>
      </c>
      <c r="AC44" s="561">
        <v>5857.38</v>
      </c>
      <c r="AD44" s="561">
        <v>266.62</v>
      </c>
      <c r="AE44" s="561">
        <v>27.55</v>
      </c>
      <c r="AF44" s="561">
        <v>290.01</v>
      </c>
      <c r="AG44" s="561">
        <v>1458.19</v>
      </c>
      <c r="AH44" s="561">
        <v>383.19</v>
      </c>
      <c r="AI44" s="561">
        <v>2169.75</v>
      </c>
      <c r="AJ44" s="561">
        <v>3645.39</v>
      </c>
      <c r="AK44" s="561">
        <v>401.67</v>
      </c>
      <c r="AL44" s="561">
        <v>0</v>
      </c>
      <c r="AM44" s="561">
        <v>0</v>
      </c>
      <c r="AN44" s="561">
        <v>0</v>
      </c>
      <c r="AO44" s="561">
        <v>0</v>
      </c>
      <c r="AP44" s="561">
        <v>0</v>
      </c>
      <c r="AQ44" s="561">
        <v>0</v>
      </c>
      <c r="AR44" s="561">
        <v>0</v>
      </c>
      <c r="AS44" s="561">
        <v>0</v>
      </c>
      <c r="AT44" s="561">
        <v>0</v>
      </c>
      <c r="AU44" s="561">
        <v>0</v>
      </c>
      <c r="AV44" s="293" t="str">
        <f>FHD_NOTE_P_8</f>
        <v/>
      </c>
      <c r="AW44" s="1640" t="str">
        <f>IF((LEN(E44)-LEN(SUBSTITUTE(E44,".","")))/LEN(".")=1,"p","")</f>
        <v>p</v>
      </c>
      <c r="BR44" s="1635">
        <v>11</v>
      </c>
    </row>
    <row customHeight="1" ht="11.549999999999999">
      <c r="D45" s="1642"/>
      <c r="E45" s="550" t="str">
        <f>FHD_NUM_P_9</f>
        <v>2.2.1</v>
      </c>
      <c r="F45" s="1654" t="str">
        <f>FHD_P_9</f>
        <v>Средневзвешенная стоимость 1 кВт.ч (с учетом мощности)</v>
      </c>
      <c r="G45" s="1879" t="s">
        <v>709</v>
      </c>
      <c r="H45" s="561"/>
      <c r="I45" s="561">
        <v>7.41</v>
      </c>
      <c r="J45" s="561">
        <v>0</v>
      </c>
      <c r="K45" s="561">
        <v>6.62</v>
      </c>
      <c r="L45" s="561">
        <v>0</v>
      </c>
      <c r="M45" s="561">
        <v>7.45</v>
      </c>
      <c r="N45" s="561">
        <v>7.45</v>
      </c>
      <c r="O45" s="561">
        <v>7.52</v>
      </c>
      <c r="P45" s="561">
        <v>7.5</v>
      </c>
      <c r="Q45" s="561">
        <v>6.8</v>
      </c>
      <c r="R45" s="561">
        <v>6.75</v>
      </c>
      <c r="S45" s="561">
        <v>6.73</v>
      </c>
      <c r="T45" s="561">
        <v>5.67</v>
      </c>
      <c r="U45" s="561">
        <v>7.35</v>
      </c>
      <c r="V45" s="561">
        <v>5.77</v>
      </c>
      <c r="W45" s="561">
        <v>5.6</v>
      </c>
      <c r="X45" s="561">
        <v>5.77</v>
      </c>
      <c r="Y45" s="561">
        <v>5.76</v>
      </c>
      <c r="Z45" s="561">
        <v>6.61</v>
      </c>
      <c r="AA45" s="561">
        <v>6.61</v>
      </c>
      <c r="AB45" s="561">
        <v>6.61</v>
      </c>
      <c r="AC45" s="561">
        <v>6.65</v>
      </c>
      <c r="AD45" s="561">
        <v>5.69</v>
      </c>
      <c r="AE45" s="561">
        <v>8.46</v>
      </c>
      <c r="AF45" s="561">
        <v>7.37</v>
      </c>
      <c r="AG45" s="561">
        <v>6.66</v>
      </c>
      <c r="AH45" s="561">
        <v>6.63</v>
      </c>
      <c r="AI45" s="561">
        <v>6.64</v>
      </c>
      <c r="AJ45" s="561">
        <v>6.63</v>
      </c>
      <c r="AK45" s="561">
        <v>7.37</v>
      </c>
      <c r="AL45" s="561">
        <v>0</v>
      </c>
      <c r="AM45" s="561">
        <v>0</v>
      </c>
      <c r="AN45" s="561">
        <v>0</v>
      </c>
      <c r="AO45" s="561">
        <v>0</v>
      </c>
      <c r="AP45" s="561">
        <v>0</v>
      </c>
      <c r="AQ45" s="561">
        <v>0</v>
      </c>
      <c r="AR45" s="561">
        <v>0</v>
      </c>
      <c r="AS45" s="561">
        <v>0</v>
      </c>
      <c r="AT45" s="561">
        <v>0</v>
      </c>
      <c r="AU45" s="561">
        <v>0</v>
      </c>
      <c r="AV45" s="293" t="str">
        <f>FHD_NOTE_P_9</f>
        <v/>
      </c>
      <c r="AW45" s="1640" t="str">
        <f>IF((LEN(E45)-LEN(SUBSTITUTE(E45,".","")))/LEN(".")=1,"p","")</f>
        <v/>
      </c>
      <c r="BR45" s="1635">
        <v>11</v>
      </c>
    </row>
    <row s="1370" customFormat="1" customHeight="1" ht="36.75">
      <c r="A46" s="991"/>
      <c r="C46" s="1640"/>
      <c r="D46" s="578"/>
      <c r="E46" s="550" t="str">
        <f>FHD_NUM_P_10</f>
        <v>2.2.2</v>
      </c>
      <c r="F46" s="1654" t="str">
        <f>FHD_P_10</f>
        <v>Объём приобретения электрической энергии</v>
      </c>
      <c r="G46" s="1879" t="s">
        <v>710</v>
      </c>
      <c r="H46" s="561"/>
      <c r="I46" s="561">
        <v>36.06</v>
      </c>
      <c r="J46" s="561">
        <v>0</v>
      </c>
      <c r="K46" s="561">
        <v>1489.53</v>
      </c>
      <c r="L46" s="561">
        <v>0</v>
      </c>
      <c r="M46" s="561">
        <v>364.2</v>
      </c>
      <c r="N46" s="561">
        <v>73.92</v>
      </c>
      <c r="O46" s="561">
        <v>374.32</v>
      </c>
      <c r="P46" s="561">
        <v>146.85</v>
      </c>
      <c r="Q46" s="561">
        <v>145.77</v>
      </c>
      <c r="R46" s="561">
        <v>483.26</v>
      </c>
      <c r="S46" s="561">
        <v>90.45</v>
      </c>
      <c r="T46" s="561">
        <v>185.19</v>
      </c>
      <c r="U46" s="561">
        <v>248.11</v>
      </c>
      <c r="V46" s="561">
        <v>6185.99</v>
      </c>
      <c r="W46" s="561">
        <v>1529.23</v>
      </c>
      <c r="X46" s="561">
        <v>6985.84</v>
      </c>
      <c r="Y46" s="561">
        <v>887.92</v>
      </c>
      <c r="Z46" s="561">
        <v>76.06</v>
      </c>
      <c r="AA46" s="561">
        <v>2772.6</v>
      </c>
      <c r="AB46" s="561">
        <v>9.38</v>
      </c>
      <c r="AC46" s="561">
        <v>881.33</v>
      </c>
      <c r="AD46" s="561">
        <v>46.87</v>
      </c>
      <c r="AE46" s="561">
        <v>3.26</v>
      </c>
      <c r="AF46" s="561">
        <v>39.33</v>
      </c>
      <c r="AG46" s="561">
        <v>219.07</v>
      </c>
      <c r="AH46" s="561">
        <v>57.82</v>
      </c>
      <c r="AI46" s="561">
        <v>326.54</v>
      </c>
      <c r="AJ46" s="561">
        <v>549.72</v>
      </c>
      <c r="AK46" s="561">
        <v>54.54</v>
      </c>
      <c r="AL46" s="561">
        <v>0</v>
      </c>
      <c r="AM46" s="561">
        <v>0</v>
      </c>
      <c r="AN46" s="561">
        <v>0</v>
      </c>
      <c r="AO46" s="561">
        <v>0</v>
      </c>
      <c r="AP46" s="561">
        <v>0</v>
      </c>
      <c r="AQ46" s="561">
        <v>0</v>
      </c>
      <c r="AR46" s="561">
        <v>0</v>
      </c>
      <c r="AS46" s="561">
        <v>0</v>
      </c>
      <c r="AT46" s="561">
        <v>0</v>
      </c>
      <c r="AU46" s="561">
        <v>0</v>
      </c>
      <c r="AV46" s="293" t="str">
        <f>FHD_NOTE_P_10</f>
        <v/>
      </c>
      <c r="AW46" s="1640" t="str">
        <f>IF((LEN(E46)-LEN(SUBSTITUTE(E46,".","")))/LEN(".")=1,"p","")</f>
        <v/>
      </c>
      <c r="AX46" s="1640"/>
      <c r="AY46" s="1640"/>
      <c r="BD46" s="1640"/>
      <c r="BG46" s="548"/>
      <c r="BM46" s="1636"/>
      <c r="BN46" s="1636"/>
      <c r="BO46" s="1636"/>
      <c r="BP46" s="1636"/>
      <c r="BQ46" s="1636"/>
      <c r="BR46" s="1164">
        <v>11</v>
      </c>
    </row>
    <row s="1370" customFormat="1" customHeight="1" ht="11.25" hidden="1">
      <c r="A47" s="993" t="s">
        <v>711</v>
      </c>
      <c r="C47" s="1640"/>
      <c r="D47" s="579"/>
      <c r="E47" s="550" t="str">
        <f>FHD_NUM_P_11</f>
        <v/>
      </c>
      <c r="F47" s="1528" t="str">
        <f>FHD_P_11</f>
        <v/>
      </c>
      <c r="G47" s="1879" t="s">
        <v>690</v>
      </c>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293" t="str">
        <f>FHD_NOTE_P_11</f>
        <v/>
      </c>
      <c r="AW47" s="1640" t="str">
        <f>IF((LEN(E47)-LEN(SUBSTITUTE(E47,".","")))/LEN(".")=1,"p","")</f>
        <v/>
      </c>
      <c r="AX47" s="1640"/>
      <c r="AY47" s="1640"/>
      <c r="BD47" s="1640"/>
      <c r="BG47" s="548"/>
      <c r="BM47" s="1636"/>
      <c r="BN47" s="1636"/>
      <c r="BO47" s="1636"/>
      <c r="BP47" s="1636"/>
      <c r="BQ47" s="1636"/>
      <c r="BR47" s="1164">
        <v>0</v>
      </c>
    </row>
    <row s="1370" customFormat="1" customHeight="1" ht="18.75">
      <c r="A48" s="993" t="s">
        <v>712</v>
      </c>
      <c r="C48" s="1640"/>
      <c r="D48" s="1642"/>
      <c r="E48" s="550" t="str">
        <f>FHD_NUM_P_12</f>
        <v>2.3</v>
      </c>
      <c r="F48" s="1528" t="str">
        <f>FHD_P_12</f>
        <v>Расходы на химические реагенты, используемые в технологическом процессе</v>
      </c>
      <c r="G48" s="1879" t="s">
        <v>690</v>
      </c>
      <c r="H48" s="581"/>
      <c r="I48" s="581">
        <v>26.5</v>
      </c>
      <c r="J48" s="581">
        <v>0</v>
      </c>
      <c r="K48" s="581">
        <v>5.53</v>
      </c>
      <c r="L48" s="581">
        <v>0</v>
      </c>
      <c r="M48" s="581">
        <v>0</v>
      </c>
      <c r="N48" s="581">
        <v>0</v>
      </c>
      <c r="O48" s="581">
        <v>0</v>
      </c>
      <c r="P48" s="581">
        <v>0</v>
      </c>
      <c r="Q48" s="581">
        <v>0</v>
      </c>
      <c r="R48" s="581">
        <v>15.22</v>
      </c>
      <c r="S48" s="581">
        <v>0</v>
      </c>
      <c r="T48" s="581">
        <v>0</v>
      </c>
      <c r="U48" s="581">
        <v>0</v>
      </c>
      <c r="V48" s="581">
        <v>5697.54</v>
      </c>
      <c r="W48" s="581">
        <v>697.88</v>
      </c>
      <c r="X48" s="581">
        <v>2163.28</v>
      </c>
      <c r="Y48" s="581">
        <v>185.64</v>
      </c>
      <c r="Z48" s="581">
        <v>0</v>
      </c>
      <c r="AA48" s="581">
        <v>6112.56</v>
      </c>
      <c r="AB48" s="581">
        <v>0</v>
      </c>
      <c r="AC48" s="581">
        <v>4780.03</v>
      </c>
      <c r="AD48" s="581">
        <v>0</v>
      </c>
      <c r="AE48" s="581">
        <v>0</v>
      </c>
      <c r="AF48" s="581">
        <v>0</v>
      </c>
      <c r="AG48" s="581">
        <v>0</v>
      </c>
      <c r="AH48" s="581">
        <v>0</v>
      </c>
      <c r="AI48" s="581">
        <v>0</v>
      </c>
      <c r="AJ48" s="581">
        <v>4.53</v>
      </c>
      <c r="AK48" s="581">
        <v>0</v>
      </c>
      <c r="AL48" s="581">
        <v>0</v>
      </c>
      <c r="AM48" s="581">
        <v>0</v>
      </c>
      <c r="AN48" s="581">
        <v>0</v>
      </c>
      <c r="AO48" s="581">
        <v>0</v>
      </c>
      <c r="AP48" s="581">
        <v>0</v>
      </c>
      <c r="AQ48" s="581">
        <v>0</v>
      </c>
      <c r="AR48" s="581">
        <v>0</v>
      </c>
      <c r="AS48" s="581">
        <v>0</v>
      </c>
      <c r="AT48" s="581">
        <v>0</v>
      </c>
      <c r="AU48" s="581">
        <v>0</v>
      </c>
      <c r="AV48" s="293" t="str">
        <f>FHD_NOTE_P_12</f>
        <v/>
      </c>
      <c r="AW48" s="1640" t="str">
        <f>IF((LEN(E48)-LEN(SUBSTITUTE(E48,".","")))/LEN(".")=1,"p","")</f>
        <v>p</v>
      </c>
      <c r="AX48" s="1640"/>
      <c r="AY48" s="1640"/>
      <c r="BD48" s="1640"/>
      <c r="BG48" s="548"/>
      <c r="BM48" s="1636"/>
      <c r="BN48" s="1636"/>
      <c r="BO48" s="1636"/>
      <c r="BP48" s="1636"/>
      <c r="BQ48" s="1636"/>
      <c r="BR48" s="1164">
        <v>18</v>
      </c>
    </row>
    <row s="1369" customFormat="1" customHeight="1" ht="54.16666666666666">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690</v>
      </c>
      <c r="H49" s="561"/>
      <c r="I49" s="561">
        <v>2510.92</v>
      </c>
      <c r="J49" s="561">
        <v>0</v>
      </c>
      <c r="K49" s="561">
        <v>6674.24</v>
      </c>
      <c r="L49" s="561">
        <v>1398.42</v>
      </c>
      <c r="M49" s="561">
        <v>3372.77</v>
      </c>
      <c r="N49" s="561">
        <v>3552.61</v>
      </c>
      <c r="O49" s="561">
        <v>2504.26</v>
      </c>
      <c r="P49" s="561">
        <v>2479.31</v>
      </c>
      <c r="Q49" s="561">
        <v>3354.33</v>
      </c>
      <c r="R49" s="561">
        <v>4634.08</v>
      </c>
      <c r="S49" s="561">
        <v>5765.29</v>
      </c>
      <c r="T49" s="561">
        <v>2730.92</v>
      </c>
      <c r="U49" s="561">
        <v>3359.3</v>
      </c>
      <c r="V49" s="561">
        <v>66835.19</v>
      </c>
      <c r="W49" s="561">
        <v>16389.01</v>
      </c>
      <c r="X49" s="561">
        <v>62440.25</v>
      </c>
      <c r="Y49" s="561">
        <v>22295.37</v>
      </c>
      <c r="Z49" s="561">
        <v>4600.19</v>
      </c>
      <c r="AA49" s="561">
        <v>50341.85</v>
      </c>
      <c r="AB49" s="561">
        <v>601.78</v>
      </c>
      <c r="AC49" s="561">
        <v>19996.46</v>
      </c>
      <c r="AD49" s="561">
        <v>1057.44</v>
      </c>
      <c r="AE49" s="561">
        <v>111.39</v>
      </c>
      <c r="AF49" s="561">
        <v>1297.29</v>
      </c>
      <c r="AG49" s="561">
        <v>4119.42</v>
      </c>
      <c r="AH49" s="561">
        <v>1386.28</v>
      </c>
      <c r="AI49" s="561">
        <v>5568.73</v>
      </c>
      <c r="AJ49" s="561">
        <v>6954.69</v>
      </c>
      <c r="AK49" s="561">
        <v>2749.8</v>
      </c>
      <c r="AL49" s="561">
        <v>149.57</v>
      </c>
      <c r="AM49" s="561">
        <v>0</v>
      </c>
      <c r="AN49" s="561">
        <v>0</v>
      </c>
      <c r="AO49" s="561">
        <v>3.3</v>
      </c>
      <c r="AP49" s="561">
        <v>0</v>
      </c>
      <c r="AQ49" s="561">
        <v>782.82</v>
      </c>
      <c r="AR49" s="561">
        <v>290.05</v>
      </c>
      <c r="AS49" s="561">
        <v>316.49</v>
      </c>
      <c r="AT49" s="561">
        <v>816.64</v>
      </c>
      <c r="AU49" s="561">
        <v>78.58</v>
      </c>
      <c r="AV49" s="293" t="str">
        <f>FHD_NOTE_P_13</f>
        <v>Указывается общая сумма расходов на оплату труда и отчислений на социальные нужды основного производственного персонала.</v>
      </c>
      <c r="AW49" s="1640" t="str">
        <f>IF((LEN(E49)-LEN(SUBSTITUTE(E49,".","")))/LEN(".")=1,"p","")</f>
        <v>p</v>
      </c>
      <c r="AX49" s="734"/>
      <c r="AY49" s="734"/>
      <c r="BD49" s="734"/>
      <c r="BG49" s="735"/>
      <c r="BM49" s="736"/>
      <c r="BN49" s="736"/>
      <c r="BO49" s="736"/>
      <c r="BP49" s="736"/>
      <c r="BQ49" s="736"/>
      <c r="BR49" s="733">
        <v>11</v>
      </c>
    </row>
    <row s="1369" customFormat="1" customHeight="1" ht="27.5">
      <c r="A50" s="992"/>
      <c r="C50" s="734"/>
      <c r="D50" s="677"/>
      <c r="E50" s="550" t="str">
        <f>FHD_NUM_P_14</f>
        <v>2.4.1</v>
      </c>
      <c r="F50" s="1654" t="str">
        <f>FHD_P_14</f>
        <v>Расходы на оплату труда основного производственного персонала</v>
      </c>
      <c r="G50" s="1879" t="s">
        <v>690</v>
      </c>
      <c r="H50" s="561"/>
      <c r="I50" s="561">
        <v>1942.96</v>
      </c>
      <c r="J50" s="561">
        <v>0</v>
      </c>
      <c r="K50" s="561">
        <v>5125.32</v>
      </c>
      <c r="L50" s="561">
        <v>1076.59</v>
      </c>
      <c r="M50" s="561">
        <v>2590.65</v>
      </c>
      <c r="N50" s="561">
        <v>2627.18</v>
      </c>
      <c r="O50" s="561">
        <v>1920.21</v>
      </c>
      <c r="P50" s="561">
        <v>1902.95</v>
      </c>
      <c r="Q50" s="561">
        <v>2576.77</v>
      </c>
      <c r="R50" s="561">
        <v>3576.67</v>
      </c>
      <c r="S50" s="561">
        <v>4423.92</v>
      </c>
      <c r="T50" s="561">
        <v>2093.14</v>
      </c>
      <c r="U50" s="561">
        <v>2581.5</v>
      </c>
      <c r="V50" s="561">
        <v>51304.78</v>
      </c>
      <c r="W50" s="561">
        <v>12558.2</v>
      </c>
      <c r="X50" s="561">
        <v>47909.5</v>
      </c>
      <c r="Y50" s="561">
        <v>17095.67</v>
      </c>
      <c r="Z50" s="561">
        <v>3531.4</v>
      </c>
      <c r="AA50" s="561">
        <v>38621.78</v>
      </c>
      <c r="AB50" s="561">
        <v>461.8</v>
      </c>
      <c r="AC50" s="561">
        <v>15335.17</v>
      </c>
      <c r="AD50" s="561">
        <v>807.59</v>
      </c>
      <c r="AE50" s="561">
        <v>85.57</v>
      </c>
      <c r="AF50" s="561">
        <v>999.81</v>
      </c>
      <c r="AG50" s="561">
        <v>3162.94</v>
      </c>
      <c r="AH50" s="561">
        <v>1059.59</v>
      </c>
      <c r="AI50" s="561">
        <v>4259.42</v>
      </c>
      <c r="AJ50" s="561">
        <v>5338.66</v>
      </c>
      <c r="AK50" s="561">
        <v>2109.44</v>
      </c>
      <c r="AL50" s="561">
        <v>114.88</v>
      </c>
      <c r="AM50" s="561">
        <v>0</v>
      </c>
      <c r="AN50" s="561">
        <v>0</v>
      </c>
      <c r="AO50" s="561">
        <v>2.53</v>
      </c>
      <c r="AP50" s="561">
        <v>0</v>
      </c>
      <c r="AQ50" s="561">
        <v>601.12</v>
      </c>
      <c r="AR50" s="561">
        <v>222.77</v>
      </c>
      <c r="AS50" s="561">
        <v>243.09</v>
      </c>
      <c r="AT50" s="561">
        <v>627.22</v>
      </c>
      <c r="AU50" s="561">
        <v>60.35</v>
      </c>
      <c r="AV50" s="293" t="str">
        <f>FHD_NOTE_P_14</f>
        <v/>
      </c>
      <c r="AW50" s="1640" t="str">
        <f>IF((LEN(E50)-LEN(SUBSTITUTE(E50,".","")))/LEN(".")=1,"p","")</f>
        <v/>
      </c>
      <c r="AX50" s="734"/>
      <c r="AY50" s="734"/>
      <c r="BD50" s="734"/>
      <c r="BG50" s="735"/>
      <c r="BM50" s="736"/>
      <c r="BN50" s="736"/>
      <c r="BO50" s="736"/>
      <c r="BP50" s="736"/>
      <c r="BQ50" s="736"/>
      <c r="BR50" s="733">
        <v>11</v>
      </c>
    </row>
    <row s="1369" customFormat="1" customHeight="1" ht="39.166666666666664">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690</v>
      </c>
      <c r="H51" s="561"/>
      <c r="I51" s="561">
        <v>567.96</v>
      </c>
      <c r="J51" s="561">
        <v>0</v>
      </c>
      <c r="K51" s="561">
        <v>1548.92</v>
      </c>
      <c r="L51" s="561">
        <v>321.83</v>
      </c>
      <c r="M51" s="561">
        <v>782.12</v>
      </c>
      <c r="N51" s="561">
        <v>925.43</v>
      </c>
      <c r="O51" s="561">
        <v>584.05</v>
      </c>
      <c r="P51" s="561">
        <v>576.37</v>
      </c>
      <c r="Q51" s="561">
        <v>777.56</v>
      </c>
      <c r="R51" s="561">
        <v>1057.41</v>
      </c>
      <c r="S51" s="561">
        <v>1341.36</v>
      </c>
      <c r="T51" s="561">
        <v>637.79</v>
      </c>
      <c r="U51" s="561">
        <v>777.8</v>
      </c>
      <c r="V51" s="561">
        <v>15530.41</v>
      </c>
      <c r="W51" s="561">
        <v>3830.81</v>
      </c>
      <c r="X51" s="561">
        <v>14530.75</v>
      </c>
      <c r="Y51" s="561">
        <v>5199.71</v>
      </c>
      <c r="Z51" s="561">
        <v>1068.79</v>
      </c>
      <c r="AA51" s="561">
        <v>11720.07</v>
      </c>
      <c r="AB51" s="561">
        <v>139.99</v>
      </c>
      <c r="AC51" s="561">
        <v>4661.29</v>
      </c>
      <c r="AD51" s="561">
        <v>249.85</v>
      </c>
      <c r="AE51" s="561">
        <v>25.82</v>
      </c>
      <c r="AF51" s="561">
        <v>297.48</v>
      </c>
      <c r="AG51" s="561">
        <v>956.49</v>
      </c>
      <c r="AH51" s="561">
        <v>326.69</v>
      </c>
      <c r="AI51" s="561">
        <v>1309.31</v>
      </c>
      <c r="AJ51" s="561">
        <v>1616.03</v>
      </c>
      <c r="AK51" s="561">
        <v>640.35</v>
      </c>
      <c r="AL51" s="561">
        <v>34.69</v>
      </c>
      <c r="AM51" s="561">
        <v>0</v>
      </c>
      <c r="AN51" s="561">
        <v>0</v>
      </c>
      <c r="AO51" s="561">
        <v>0.77</v>
      </c>
      <c r="AP51" s="561">
        <v>0</v>
      </c>
      <c r="AQ51" s="561">
        <v>181.7</v>
      </c>
      <c r="AR51" s="561">
        <v>67.28</v>
      </c>
      <c r="AS51" s="561">
        <v>73.4</v>
      </c>
      <c r="AT51" s="561">
        <v>189.42</v>
      </c>
      <c r="AU51" s="561">
        <v>18.23</v>
      </c>
      <c r="AV51" s="293" t="str">
        <f>FHD_NOTE_P_15</f>
        <v/>
      </c>
      <c r="AW51" s="1640" t="str">
        <f>IF((LEN(E51)-LEN(SUBSTITUTE(E51,".","")))/LEN(".")=1,"p","")</f>
        <v/>
      </c>
      <c r="AX51" s="734"/>
      <c r="AY51" s="734"/>
      <c r="BD51" s="734"/>
      <c r="BG51" s="735"/>
      <c r="BM51" s="736"/>
      <c r="BN51" s="736"/>
      <c r="BO51" s="736"/>
      <c r="BP51" s="736"/>
      <c r="BQ51" s="736"/>
      <c r="BR51" s="733">
        <v>11</v>
      </c>
    </row>
    <row s="1370" customFormat="1" customHeight="1" ht="27.5">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690</v>
      </c>
      <c r="H52" s="561"/>
      <c r="I52" s="561">
        <v>114.89</v>
      </c>
      <c r="J52" s="561">
        <v>0</v>
      </c>
      <c r="K52" s="561">
        <v>1449.07</v>
      </c>
      <c r="L52" s="561">
        <v>0</v>
      </c>
      <c r="M52" s="561">
        <v>154.32</v>
      </c>
      <c r="N52" s="561">
        <v>162.55</v>
      </c>
      <c r="O52" s="561">
        <v>114.58</v>
      </c>
      <c r="P52" s="561">
        <v>113.44</v>
      </c>
      <c r="Q52" s="561">
        <v>153.48</v>
      </c>
      <c r="R52" s="561">
        <v>212.04</v>
      </c>
      <c r="S52" s="561">
        <v>263.79</v>
      </c>
      <c r="T52" s="561">
        <v>350.21</v>
      </c>
      <c r="U52" s="561">
        <v>0</v>
      </c>
      <c r="V52" s="561">
        <v>18938.99</v>
      </c>
      <c r="W52" s="561">
        <v>1862.21</v>
      </c>
      <c r="X52" s="561">
        <v>8996.59</v>
      </c>
      <c r="Y52" s="561">
        <v>922.16</v>
      </c>
      <c r="Z52" s="561">
        <v>465.6</v>
      </c>
      <c r="AA52" s="561">
        <v>10929.9</v>
      </c>
      <c r="AB52" s="561">
        <v>116.05</v>
      </c>
      <c r="AC52" s="561">
        <v>3856.14</v>
      </c>
      <c r="AD52" s="561">
        <v>135.6</v>
      </c>
      <c r="AE52" s="561">
        <v>0</v>
      </c>
      <c r="AF52" s="561">
        <v>367.61</v>
      </c>
      <c r="AG52" s="561">
        <v>416.94</v>
      </c>
      <c r="AH52" s="561">
        <v>140.31</v>
      </c>
      <c r="AI52" s="561">
        <v>563.63</v>
      </c>
      <c r="AJ52" s="561">
        <v>1509.96</v>
      </c>
      <c r="AK52" s="561">
        <v>530.27</v>
      </c>
      <c r="AL52" s="561">
        <v>0</v>
      </c>
      <c r="AM52" s="561">
        <v>0</v>
      </c>
      <c r="AN52" s="561">
        <v>0</v>
      </c>
      <c r="AO52" s="561">
        <v>0</v>
      </c>
      <c r="AP52" s="561">
        <v>0</v>
      </c>
      <c r="AQ52" s="561">
        <v>0</v>
      </c>
      <c r="AR52" s="561">
        <v>0</v>
      </c>
      <c r="AS52" s="561">
        <v>0</v>
      </c>
      <c r="AT52" s="561">
        <v>0</v>
      </c>
      <c r="AU52" s="561">
        <v>0</v>
      </c>
      <c r="AV52" s="293" t="str">
        <f>FHD_NOTE_P_16</f>
        <v>Указывается общая сумма расходов на оплату труда и отчислений на социальные нужды административно-управленческого персонала.</v>
      </c>
      <c r="AW52" s="1640" t="str">
        <f>IF((LEN(E52)-LEN(SUBSTITUTE(E52,".","")))/LEN(".")=1,"p","")</f>
        <v>p</v>
      </c>
      <c r="AX52" s="1640"/>
      <c r="AY52" s="1646"/>
      <c r="AZ52" s="541"/>
      <c r="BA52" s="541"/>
      <c r="BD52" s="1640"/>
      <c r="BG52" s="548"/>
      <c r="BM52" s="1636"/>
      <c r="BN52" s="1636"/>
      <c r="BO52" s="1636"/>
      <c r="BP52" s="1636"/>
      <c r="BQ52" s="1636"/>
      <c r="BR52" s="1164">
        <v>11</v>
      </c>
    </row>
    <row s="1370" customFormat="1" customHeight="1" ht="27.5">
      <c r="A53" s="991"/>
      <c r="C53" s="1640"/>
      <c r="D53" s="1642"/>
      <c r="E53" s="550" t="str">
        <f>FHD_NUM_P_17</f>
        <v>2.5.1</v>
      </c>
      <c r="F53" s="1654" t="str">
        <f>FHD_P_17</f>
        <v>Расходы на оплату труда административно-управленческого персонала</v>
      </c>
      <c r="G53" s="1879" t="s">
        <v>690</v>
      </c>
      <c r="H53" s="561"/>
      <c r="I53" s="561">
        <v>88.9</v>
      </c>
      <c r="J53" s="561">
        <v>0</v>
      </c>
      <c r="K53" s="561">
        <v>1112.78</v>
      </c>
      <c r="L53" s="561">
        <v>0</v>
      </c>
      <c r="M53" s="561">
        <v>118.54</v>
      </c>
      <c r="N53" s="561">
        <v>120.21</v>
      </c>
      <c r="O53" s="561">
        <v>87.86</v>
      </c>
      <c r="P53" s="561">
        <v>87.07</v>
      </c>
      <c r="Q53" s="561">
        <v>117.9</v>
      </c>
      <c r="R53" s="561">
        <v>163.65</v>
      </c>
      <c r="S53" s="561">
        <v>202.42</v>
      </c>
      <c r="T53" s="561">
        <v>268.42</v>
      </c>
      <c r="U53" s="561">
        <v>0</v>
      </c>
      <c r="V53" s="561">
        <v>14538.16</v>
      </c>
      <c r="W53" s="561">
        <v>1426.93</v>
      </c>
      <c r="X53" s="561">
        <v>6902.95</v>
      </c>
      <c r="Y53" s="561">
        <v>707.1</v>
      </c>
      <c r="Z53" s="561">
        <v>357.42</v>
      </c>
      <c r="AA53" s="561">
        <v>8385.31</v>
      </c>
      <c r="AB53" s="561">
        <v>89.05</v>
      </c>
      <c r="AC53" s="561">
        <v>2957.25</v>
      </c>
      <c r="AD53" s="561">
        <v>103.56</v>
      </c>
      <c r="AE53" s="561">
        <v>0</v>
      </c>
      <c r="AF53" s="561">
        <v>283.31</v>
      </c>
      <c r="AG53" s="561">
        <v>320.13</v>
      </c>
      <c r="AH53" s="561">
        <v>107.24</v>
      </c>
      <c r="AI53" s="561">
        <v>431.11</v>
      </c>
      <c r="AJ53" s="561">
        <v>1159.1</v>
      </c>
      <c r="AK53" s="561">
        <v>406.79</v>
      </c>
      <c r="AL53" s="561">
        <v>0</v>
      </c>
      <c r="AM53" s="561">
        <v>0</v>
      </c>
      <c r="AN53" s="561">
        <v>0</v>
      </c>
      <c r="AO53" s="561">
        <v>0</v>
      </c>
      <c r="AP53" s="561">
        <v>0</v>
      </c>
      <c r="AQ53" s="561">
        <v>0</v>
      </c>
      <c r="AR53" s="561">
        <v>0</v>
      </c>
      <c r="AS53" s="561">
        <v>0</v>
      </c>
      <c r="AT53" s="561">
        <v>0</v>
      </c>
      <c r="AU53" s="561">
        <v>0</v>
      </c>
      <c r="AV53" s="293" t="str">
        <f>FHD_NOTE_P_17</f>
        <v/>
      </c>
      <c r="AW53" s="1640" t="str">
        <f>IF((LEN(E53)-LEN(SUBSTITUTE(E53,".","")))/LEN(".")=1,"p","")</f>
        <v/>
      </c>
      <c r="AX53" s="1640"/>
      <c r="AY53" s="1646"/>
      <c r="AZ53" s="541"/>
      <c r="BA53" s="541"/>
      <c r="BD53" s="1640"/>
      <c r="BG53" s="548"/>
      <c r="BM53" s="1636"/>
      <c r="BN53" s="1636"/>
      <c r="BO53" s="1636"/>
      <c r="BP53" s="1636"/>
      <c r="BQ53" s="1636"/>
      <c r="BR53" s="1164">
        <v>11</v>
      </c>
    </row>
    <row s="1370" customFormat="1" customHeight="1" ht="33.333333333333336">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690</v>
      </c>
      <c r="H54" s="561"/>
      <c r="I54" s="561">
        <v>25.99</v>
      </c>
      <c r="J54" s="561">
        <v>0</v>
      </c>
      <c r="K54" s="561">
        <v>336.29</v>
      </c>
      <c r="L54" s="561">
        <v>0</v>
      </c>
      <c r="M54" s="561">
        <v>35.79</v>
      </c>
      <c r="N54" s="561">
        <v>42.34</v>
      </c>
      <c r="O54" s="561">
        <v>26.72</v>
      </c>
      <c r="P54" s="561">
        <v>26.37</v>
      </c>
      <c r="Q54" s="561">
        <v>35.58</v>
      </c>
      <c r="R54" s="561">
        <v>48.38</v>
      </c>
      <c r="S54" s="561">
        <v>61.37</v>
      </c>
      <c r="T54" s="561">
        <v>81.79</v>
      </c>
      <c r="U54" s="561">
        <v>0</v>
      </c>
      <c r="V54" s="561">
        <v>4400.83</v>
      </c>
      <c r="W54" s="561">
        <v>435.28</v>
      </c>
      <c r="X54" s="561">
        <v>2093.64</v>
      </c>
      <c r="Y54" s="561">
        <v>215.07</v>
      </c>
      <c r="Z54" s="561">
        <v>108.18</v>
      </c>
      <c r="AA54" s="561">
        <v>2544.59</v>
      </c>
      <c r="AB54" s="561">
        <v>27</v>
      </c>
      <c r="AC54" s="561">
        <v>898.89</v>
      </c>
      <c r="AD54" s="561">
        <v>32.04</v>
      </c>
      <c r="AE54" s="561">
        <v>0</v>
      </c>
      <c r="AF54" s="561">
        <v>84.3</v>
      </c>
      <c r="AG54" s="561">
        <v>96.81</v>
      </c>
      <c r="AH54" s="561">
        <v>33.07</v>
      </c>
      <c r="AI54" s="561">
        <v>132.52</v>
      </c>
      <c r="AJ54" s="561">
        <v>350.86</v>
      </c>
      <c r="AK54" s="561">
        <v>123.49</v>
      </c>
      <c r="AL54" s="561">
        <v>0</v>
      </c>
      <c r="AM54" s="561">
        <v>0</v>
      </c>
      <c r="AN54" s="561">
        <v>0</v>
      </c>
      <c r="AO54" s="561">
        <v>0</v>
      </c>
      <c r="AP54" s="561">
        <v>0</v>
      </c>
      <c r="AQ54" s="561">
        <v>0</v>
      </c>
      <c r="AR54" s="561">
        <v>0</v>
      </c>
      <c r="AS54" s="561">
        <v>0</v>
      </c>
      <c r="AT54" s="561">
        <v>0</v>
      </c>
      <c r="AU54" s="561">
        <v>0</v>
      </c>
      <c r="AV54" s="293" t="str">
        <f>FHD_NOTE_P_18</f>
        <v/>
      </c>
      <c r="AW54" s="1640" t="str">
        <f>IF((LEN(E54)-LEN(SUBSTITUTE(E54,".","")))/LEN(".")=1,"p","")</f>
        <v/>
      </c>
      <c r="AX54" s="1640"/>
      <c r="AY54" s="1646"/>
      <c r="AZ54" s="541"/>
      <c r="BA54" s="541"/>
      <c r="BD54" s="1640"/>
      <c r="BG54" s="548"/>
      <c r="BM54" s="1636"/>
      <c r="BN54" s="1636"/>
      <c r="BO54" s="1636"/>
      <c r="BP54" s="1636"/>
      <c r="BQ54" s="1636"/>
      <c r="BR54" s="1164">
        <v>11</v>
      </c>
    </row>
    <row s="1370" customFormat="1" customHeight="1" ht="33.333333333333336">
      <c r="A55" s="991"/>
      <c r="C55" s="1640"/>
      <c r="D55" s="579"/>
      <c r="E55" s="550" t="str">
        <f>FHD_NUM_P_19</f>
        <v>2.6</v>
      </c>
      <c r="F55" s="1528" t="str">
        <f>FHD_P_19</f>
        <v>Расходы на амортизацию основных средств и нематериальных активов</v>
      </c>
      <c r="G55" s="1879" t="s">
        <v>690</v>
      </c>
      <c r="H55" s="561"/>
      <c r="I55" s="561">
        <v>0</v>
      </c>
      <c r="J55" s="561">
        <v>0</v>
      </c>
      <c r="K55" s="561">
        <v>181.01</v>
      </c>
      <c r="L55" s="561">
        <v>0</v>
      </c>
      <c r="M55" s="561">
        <v>128.83</v>
      </c>
      <c r="N55" s="561">
        <v>64.53</v>
      </c>
      <c r="O55" s="561">
        <v>0</v>
      </c>
      <c r="P55" s="561">
        <v>86.25</v>
      </c>
      <c r="Q55" s="561">
        <v>0</v>
      </c>
      <c r="R55" s="561">
        <v>3.61</v>
      </c>
      <c r="S55" s="561">
        <v>0</v>
      </c>
      <c r="T55" s="561">
        <v>39.65</v>
      </c>
      <c r="U55" s="561">
        <v>2.7</v>
      </c>
      <c r="V55" s="561">
        <v>6041.69</v>
      </c>
      <c r="W55" s="561">
        <v>2780.63</v>
      </c>
      <c r="X55" s="561">
        <v>16047.82</v>
      </c>
      <c r="Y55" s="561">
        <v>531.28</v>
      </c>
      <c r="Z55" s="561">
        <v>46.57</v>
      </c>
      <c r="AA55" s="561">
        <v>2611.62</v>
      </c>
      <c r="AB55" s="561">
        <v>0</v>
      </c>
      <c r="AC55" s="561">
        <v>137.61</v>
      </c>
      <c r="AD55" s="561">
        <v>0</v>
      </c>
      <c r="AE55" s="561">
        <v>0.02</v>
      </c>
      <c r="AF55" s="561">
        <v>59.46</v>
      </c>
      <c r="AG55" s="561">
        <v>3.21</v>
      </c>
      <c r="AH55" s="561">
        <v>2.75</v>
      </c>
      <c r="AI55" s="561">
        <v>93.51</v>
      </c>
      <c r="AJ55" s="561">
        <v>166.1</v>
      </c>
      <c r="AK55" s="561">
        <v>352.95</v>
      </c>
      <c r="AL55" s="561">
        <v>0</v>
      </c>
      <c r="AM55" s="561">
        <v>0</v>
      </c>
      <c r="AN55" s="561">
        <v>0</v>
      </c>
      <c r="AO55" s="561">
        <v>0</v>
      </c>
      <c r="AP55" s="561">
        <v>0</v>
      </c>
      <c r="AQ55" s="561">
        <v>0</v>
      </c>
      <c r="AR55" s="561">
        <v>96.46</v>
      </c>
      <c r="AS55" s="561">
        <v>0.01</v>
      </c>
      <c r="AT55" s="561">
        <v>0</v>
      </c>
      <c r="AU55" s="561">
        <v>0</v>
      </c>
      <c r="AV55" s="293" t="str">
        <f>FHD_NOTE_P_19</f>
        <v/>
      </c>
      <c r="AW55" s="1640" t="str">
        <f>IF((LEN(E55)-LEN(SUBSTITUTE(E55,".","")))/LEN(".")=1,"p","")</f>
        <v>p</v>
      </c>
      <c r="AX55" s="1640"/>
      <c r="AY55" s="1640"/>
      <c r="BD55" s="1640"/>
      <c r="BG55" s="548"/>
      <c r="BM55" s="1636"/>
      <c r="BN55" s="1636"/>
      <c r="BO55" s="1636"/>
      <c r="BP55" s="1636"/>
      <c r="BQ55" s="1636"/>
      <c r="BR55" s="1164">
        <v>11</v>
      </c>
    </row>
    <row s="1370" customFormat="1" customHeight="1" ht="33.333333333333336">
      <c r="A56" s="991"/>
      <c r="C56" s="1640"/>
      <c r="D56" s="579"/>
      <c r="E56" s="550" t="str">
        <f>FHD_NUM_P_20</f>
        <v>2.6.1</v>
      </c>
      <c r="F56" s="1654" t="str">
        <f>FHD_P_20</f>
        <v>Расходы на амортизацию основных средств</v>
      </c>
      <c r="G56" s="1879" t="s">
        <v>690</v>
      </c>
      <c r="H56" s="561"/>
      <c r="I56" s="561">
        <v>0</v>
      </c>
      <c r="J56" s="561">
        <v>0</v>
      </c>
      <c r="K56" s="561">
        <v>181.01</v>
      </c>
      <c r="L56" s="561">
        <v>0</v>
      </c>
      <c r="M56" s="561">
        <v>128.83</v>
      </c>
      <c r="N56" s="561">
        <v>64.53</v>
      </c>
      <c r="O56" s="561">
        <v>0</v>
      </c>
      <c r="P56" s="561">
        <v>86.25</v>
      </c>
      <c r="Q56" s="561">
        <v>0</v>
      </c>
      <c r="R56" s="561">
        <v>3.61</v>
      </c>
      <c r="S56" s="561">
        <v>0</v>
      </c>
      <c r="T56" s="561">
        <v>39.65</v>
      </c>
      <c r="U56" s="561">
        <v>2.7</v>
      </c>
      <c r="V56" s="561">
        <v>6041.69</v>
      </c>
      <c r="W56" s="561">
        <v>2780.63</v>
      </c>
      <c r="X56" s="561">
        <v>16047.82</v>
      </c>
      <c r="Y56" s="561">
        <v>531.28</v>
      </c>
      <c r="Z56" s="561">
        <v>46.57</v>
      </c>
      <c r="AA56" s="561">
        <v>2611.62</v>
      </c>
      <c r="AB56" s="561">
        <v>0</v>
      </c>
      <c r="AC56" s="561">
        <v>137.61</v>
      </c>
      <c r="AD56" s="561">
        <v>0</v>
      </c>
      <c r="AE56" s="561">
        <v>0.02</v>
      </c>
      <c r="AF56" s="561">
        <v>59.46</v>
      </c>
      <c r="AG56" s="561">
        <v>3.21</v>
      </c>
      <c r="AH56" s="561">
        <v>2.75</v>
      </c>
      <c r="AI56" s="561">
        <v>93.51</v>
      </c>
      <c r="AJ56" s="561">
        <v>166.1</v>
      </c>
      <c r="AK56" s="561">
        <v>352.95</v>
      </c>
      <c r="AL56" s="561">
        <v>0</v>
      </c>
      <c r="AM56" s="561">
        <v>0</v>
      </c>
      <c r="AN56" s="561">
        <v>0</v>
      </c>
      <c r="AO56" s="561">
        <v>0</v>
      </c>
      <c r="AP56" s="561">
        <v>0</v>
      </c>
      <c r="AQ56" s="561">
        <v>0</v>
      </c>
      <c r="AR56" s="561">
        <v>96.46</v>
      </c>
      <c r="AS56" s="561">
        <v>0.01</v>
      </c>
      <c r="AT56" s="561">
        <v>0</v>
      </c>
      <c r="AU56" s="561">
        <v>0</v>
      </c>
      <c r="AV56" s="293" t="str">
        <f>FHD_NOTE_P_20</f>
        <v/>
      </c>
      <c r="AW56" s="1640" t="str">
        <f>IF((LEN(E56)-LEN(SUBSTITUTE(E56,".","")))/LEN(".")=1,"p","")</f>
        <v/>
      </c>
      <c r="AX56" s="1640"/>
      <c r="AY56" s="1640"/>
      <c r="BD56" s="1640"/>
      <c r="BG56" s="548"/>
      <c r="BM56" s="1636"/>
      <c r="BN56" s="1636"/>
      <c r="BO56" s="1636"/>
      <c r="BP56" s="1636"/>
      <c r="BQ56" s="1636"/>
      <c r="BR56" s="1164">
        <v>11</v>
      </c>
    </row>
    <row s="1370" customFormat="1" customHeight="1" ht="33.333333333333336">
      <c r="A57" s="991"/>
      <c r="C57" s="1640"/>
      <c r="D57" s="579"/>
      <c r="E57" s="550" t="str">
        <f>FHD_NUM_P_21</f>
        <v>2.6.2</v>
      </c>
      <c r="F57" s="1654" t="str">
        <f>FHD_P_21</f>
        <v>Расходы на амортизацию нематериальных активов</v>
      </c>
      <c r="G57" s="1879" t="s">
        <v>690</v>
      </c>
      <c r="H57" s="561"/>
      <c r="I57" s="561">
        <v>0</v>
      </c>
      <c r="J57" s="561">
        <v>0</v>
      </c>
      <c r="K57" s="561">
        <v>0</v>
      </c>
      <c r="L57" s="561">
        <v>0</v>
      </c>
      <c r="M57" s="561">
        <v>0</v>
      </c>
      <c r="N57" s="561">
        <v>0</v>
      </c>
      <c r="O57" s="561">
        <v>0</v>
      </c>
      <c r="P57" s="561">
        <v>0</v>
      </c>
      <c r="Q57" s="561">
        <v>0</v>
      </c>
      <c r="R57" s="561">
        <v>0</v>
      </c>
      <c r="S57" s="561">
        <v>0</v>
      </c>
      <c r="T57" s="561">
        <v>0</v>
      </c>
      <c r="U57" s="561">
        <v>0</v>
      </c>
      <c r="V57" s="561">
        <v>0</v>
      </c>
      <c r="W57" s="561">
        <v>0</v>
      </c>
      <c r="X57" s="561">
        <v>0</v>
      </c>
      <c r="Y57" s="561">
        <v>0</v>
      </c>
      <c r="Z57" s="561">
        <v>0</v>
      </c>
      <c r="AA57" s="561">
        <v>0</v>
      </c>
      <c r="AB57" s="561">
        <v>0</v>
      </c>
      <c r="AC57" s="561">
        <v>0</v>
      </c>
      <c r="AD57" s="561">
        <v>0</v>
      </c>
      <c r="AE57" s="561">
        <v>0</v>
      </c>
      <c r="AF57" s="561">
        <v>0</v>
      </c>
      <c r="AG57" s="561">
        <v>0</v>
      </c>
      <c r="AH57" s="561">
        <v>0</v>
      </c>
      <c r="AI57" s="561">
        <v>0</v>
      </c>
      <c r="AJ57" s="561">
        <v>0</v>
      </c>
      <c r="AK57" s="561">
        <v>0</v>
      </c>
      <c r="AL57" s="561">
        <v>0</v>
      </c>
      <c r="AM57" s="561">
        <v>0</v>
      </c>
      <c r="AN57" s="561">
        <v>0</v>
      </c>
      <c r="AO57" s="561">
        <v>0</v>
      </c>
      <c r="AP57" s="561">
        <v>0</v>
      </c>
      <c r="AQ57" s="561">
        <v>0</v>
      </c>
      <c r="AR57" s="561">
        <v>0</v>
      </c>
      <c r="AS57" s="561">
        <v>0</v>
      </c>
      <c r="AT57" s="561">
        <v>0</v>
      </c>
      <c r="AU57" s="561">
        <v>0</v>
      </c>
      <c r="AV57" s="293" t="str">
        <f>FHD_NOTE_P_21</f>
        <v/>
      </c>
      <c r="AW57" s="1640" t="str">
        <f>IF((LEN(E57)-LEN(SUBSTITUTE(E57,".","")))/LEN(".")=1,"p","")</f>
        <v/>
      </c>
      <c r="AX57" s="1640"/>
      <c r="AY57" s="1640"/>
      <c r="BD57" s="1640"/>
      <c r="BG57" s="548"/>
      <c r="BM57" s="1636"/>
      <c r="BN57" s="1636"/>
      <c r="BO57" s="1636"/>
      <c r="BP57" s="1636"/>
      <c r="BQ57" s="1636"/>
      <c r="BR57" s="1164">
        <v>11</v>
      </c>
    </row>
    <row s="1370" customFormat="1" customHeight="1" ht="33.333333333333336">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79" t="s">
        <v>690</v>
      </c>
      <c r="H58" s="561"/>
      <c r="I58" s="561">
        <v>0.52</v>
      </c>
      <c r="J58" s="561">
        <v>0</v>
      </c>
      <c r="K58" s="561">
        <v>386.59</v>
      </c>
      <c r="L58" s="561">
        <v>0</v>
      </c>
      <c r="M58" s="561">
        <v>24.87</v>
      </c>
      <c r="N58" s="561">
        <v>4.15</v>
      </c>
      <c r="O58" s="561">
        <v>23.55</v>
      </c>
      <c r="P58" s="561">
        <v>95.82</v>
      </c>
      <c r="Q58" s="561">
        <v>7.89</v>
      </c>
      <c r="R58" s="561">
        <v>0</v>
      </c>
      <c r="S58" s="561">
        <v>0</v>
      </c>
      <c r="T58" s="561">
        <v>27.14</v>
      </c>
      <c r="U58" s="561">
        <v>45.05</v>
      </c>
      <c r="V58" s="561">
        <v>1844.7</v>
      </c>
      <c r="W58" s="561">
        <v>14.91</v>
      </c>
      <c r="X58" s="561">
        <v>378.74</v>
      </c>
      <c r="Y58" s="561">
        <v>72.2</v>
      </c>
      <c r="Z58" s="561">
        <v>1.2</v>
      </c>
      <c r="AA58" s="561">
        <v>463.98</v>
      </c>
      <c r="AB58" s="561">
        <v>17.31</v>
      </c>
      <c r="AC58" s="561">
        <v>0.01</v>
      </c>
      <c r="AD58" s="561">
        <v>208.42</v>
      </c>
      <c r="AE58" s="561">
        <v>3.45</v>
      </c>
      <c r="AF58" s="561">
        <v>3.03</v>
      </c>
      <c r="AG58" s="561">
        <v>1.94</v>
      </c>
      <c r="AH58" s="561">
        <v>0</v>
      </c>
      <c r="AI58" s="561">
        <v>0.03</v>
      </c>
      <c r="AJ58" s="561">
        <v>44.17</v>
      </c>
      <c r="AK58" s="561">
        <v>14.83</v>
      </c>
      <c r="AL58" s="561">
        <v>0</v>
      </c>
      <c r="AM58" s="561">
        <v>0</v>
      </c>
      <c r="AN58" s="561">
        <v>0</v>
      </c>
      <c r="AO58" s="561">
        <v>0</v>
      </c>
      <c r="AP58" s="561">
        <v>0</v>
      </c>
      <c r="AQ58" s="561">
        <v>0</v>
      </c>
      <c r="AR58" s="561">
        <v>0</v>
      </c>
      <c r="AS58" s="561">
        <v>0.02</v>
      </c>
      <c r="AT58" s="561">
        <v>0</v>
      </c>
      <c r="AU58" s="561">
        <v>0</v>
      </c>
      <c r="AV58" s="293" t="str">
        <f>FHD_NOTE_P_22</f>
        <v/>
      </c>
      <c r="AW58" s="1640" t="str">
        <f>IF((LEN(E58)-LEN(SUBSTITUTE(E58,".","")))/LEN(".")=1,"p","")</f>
        <v>p</v>
      </c>
      <c r="AX58" s="1640"/>
      <c r="AY58" s="1640"/>
      <c r="BD58" s="1640"/>
      <c r="BG58" s="548"/>
      <c r="BM58" s="1636"/>
      <c r="BN58" s="1636"/>
      <c r="BO58" s="1636"/>
      <c r="BP58" s="1636"/>
      <c r="BQ58" s="1636"/>
      <c r="BR58" s="1164">
        <v>11</v>
      </c>
    </row>
    <row s="1370" customFormat="1" customHeight="1" ht="33.333333333333336">
      <c r="A59" s="991"/>
      <c r="C59" s="1640"/>
      <c r="D59" s="579"/>
      <c r="E59" s="550" t="str">
        <f>FHD_NUM_P_23</f>
        <v>2.8</v>
      </c>
      <c r="F59" s="1528" t="str">
        <f>FHD_P_23</f>
        <v>Общепроизводственные расходы, в том числе:</v>
      </c>
      <c r="G59" s="1879" t="s">
        <v>690</v>
      </c>
      <c r="H59" s="561"/>
      <c r="I59" s="561">
        <v>113.39</v>
      </c>
      <c r="J59" s="561">
        <v>0</v>
      </c>
      <c r="K59" s="561">
        <v>889.67</v>
      </c>
      <c r="L59" s="561">
        <v>652.69</v>
      </c>
      <c r="M59" s="561">
        <v>26.72</v>
      </c>
      <c r="N59" s="561">
        <v>55.2</v>
      </c>
      <c r="O59" s="561">
        <v>533.94</v>
      </c>
      <c r="P59" s="561">
        <v>122.54</v>
      </c>
      <c r="Q59" s="561">
        <v>101.34</v>
      </c>
      <c r="R59" s="561">
        <v>428.4</v>
      </c>
      <c r="S59" s="561">
        <v>220.66</v>
      </c>
      <c r="T59" s="561">
        <v>137.46</v>
      </c>
      <c r="U59" s="561">
        <v>62.72</v>
      </c>
      <c r="V59" s="561">
        <v>4946.52</v>
      </c>
      <c r="W59" s="561">
        <v>1489.96</v>
      </c>
      <c r="X59" s="561">
        <v>7763.1</v>
      </c>
      <c r="Y59" s="561">
        <v>4028.59</v>
      </c>
      <c r="Z59" s="561">
        <v>338.08</v>
      </c>
      <c r="AA59" s="561">
        <v>6465.37</v>
      </c>
      <c r="AB59" s="561">
        <v>14.85</v>
      </c>
      <c r="AC59" s="561">
        <v>1342.13</v>
      </c>
      <c r="AD59" s="561">
        <v>16.81</v>
      </c>
      <c r="AE59" s="561">
        <v>0</v>
      </c>
      <c r="AF59" s="561">
        <v>66.24</v>
      </c>
      <c r="AG59" s="561">
        <v>119.74</v>
      </c>
      <c r="AH59" s="561">
        <v>112.56</v>
      </c>
      <c r="AI59" s="561">
        <v>391.53</v>
      </c>
      <c r="AJ59" s="561">
        <v>1145.54</v>
      </c>
      <c r="AK59" s="561">
        <v>76.28</v>
      </c>
      <c r="AL59" s="561">
        <v>0</v>
      </c>
      <c r="AM59" s="561">
        <v>0</v>
      </c>
      <c r="AN59" s="561">
        <v>0</v>
      </c>
      <c r="AO59" s="561">
        <v>0.03</v>
      </c>
      <c r="AP59" s="561">
        <v>0</v>
      </c>
      <c r="AQ59" s="561">
        <v>449.09</v>
      </c>
      <c r="AR59" s="561">
        <v>136.08</v>
      </c>
      <c r="AS59" s="561">
        <v>21.41</v>
      </c>
      <c r="AT59" s="561">
        <v>232.6</v>
      </c>
      <c r="AU59" s="561">
        <v>51.95</v>
      </c>
      <c r="AV59" s="293" t="str">
        <f>FHD_NOTE_P_23</f>
        <v>Указывается общая сумма общепроизводственных расходов.</v>
      </c>
      <c r="AW59" s="1640" t="str">
        <f>IF((LEN(E59)-LEN(SUBSTITUTE(E59,".","")))/LEN(".")=1,"p","")</f>
        <v>p</v>
      </c>
      <c r="AX59" s="1640"/>
      <c r="AY59" s="1640"/>
      <c r="BD59" s="1640"/>
      <c r="BG59" s="548"/>
      <c r="BM59" s="1636"/>
      <c r="BN59" s="1636"/>
      <c r="BO59" s="1636"/>
      <c r="BP59" s="1636"/>
      <c r="BQ59" s="1636"/>
      <c r="BR59" s="1164">
        <v>11</v>
      </c>
    </row>
    <row s="1370" customFormat="1" customHeight="1" ht="33.333333333333336">
      <c r="A60" s="991"/>
      <c r="C60" s="1640"/>
      <c r="D60" s="579"/>
      <c r="E60" s="550" t="str">
        <f>FHD_NUM_P_24</f>
        <v>2.8.1</v>
      </c>
      <c r="F60" s="1654" t="str">
        <f>FHD_P_24</f>
        <v>Расходы на текущий ремонт</v>
      </c>
      <c r="G60" s="1879" t="s">
        <v>690</v>
      </c>
      <c r="H60" s="561"/>
      <c r="I60" s="561">
        <v>0</v>
      </c>
      <c r="J60" s="561">
        <v>0</v>
      </c>
      <c r="K60" s="561">
        <v>0.3</v>
      </c>
      <c r="L60" s="561">
        <v>0</v>
      </c>
      <c r="M60" s="561">
        <v>0</v>
      </c>
      <c r="N60" s="561">
        <v>0</v>
      </c>
      <c r="O60" s="561">
        <v>0</v>
      </c>
      <c r="P60" s="561">
        <v>0</v>
      </c>
      <c r="Q60" s="561">
        <v>0</v>
      </c>
      <c r="R60" s="561">
        <v>0</v>
      </c>
      <c r="S60" s="561">
        <v>0</v>
      </c>
      <c r="T60" s="561">
        <v>0</v>
      </c>
      <c r="U60" s="561">
        <v>0</v>
      </c>
      <c r="V60" s="561">
        <v>2.45</v>
      </c>
      <c r="W60" s="561">
        <v>0</v>
      </c>
      <c r="X60" s="561">
        <v>0</v>
      </c>
      <c r="Y60" s="561">
        <v>0</v>
      </c>
      <c r="Z60" s="561">
        <v>0</v>
      </c>
      <c r="AA60" s="561">
        <v>4.75</v>
      </c>
      <c r="AB60" s="561">
        <v>0</v>
      </c>
      <c r="AC60" s="561">
        <v>0</v>
      </c>
      <c r="AD60" s="561">
        <v>0</v>
      </c>
      <c r="AE60" s="561">
        <v>0</v>
      </c>
      <c r="AF60" s="561">
        <v>0.03</v>
      </c>
      <c r="AG60" s="561">
        <v>0</v>
      </c>
      <c r="AH60" s="561">
        <v>0</v>
      </c>
      <c r="AI60" s="561">
        <v>0</v>
      </c>
      <c r="AJ60" s="561">
        <v>0.95</v>
      </c>
      <c r="AK60" s="561">
        <v>0</v>
      </c>
      <c r="AL60" s="561">
        <v>0</v>
      </c>
      <c r="AM60" s="561">
        <v>0</v>
      </c>
      <c r="AN60" s="561">
        <v>0</v>
      </c>
      <c r="AO60" s="561">
        <v>0</v>
      </c>
      <c r="AP60" s="561">
        <v>0</v>
      </c>
      <c r="AQ60" s="561">
        <v>0</v>
      </c>
      <c r="AR60" s="561">
        <v>0</v>
      </c>
      <c r="AS60" s="561">
        <v>0</v>
      </c>
      <c r="AT60" s="561">
        <v>0</v>
      </c>
      <c r="AU60" s="561">
        <v>0</v>
      </c>
      <c r="AV60" s="293" t="str">
        <f>FHD_NOTE_P_24</f>
        <v>Указываются расходы на текущий ремонт, отнесенные к общепроизводственным расходам.</v>
      </c>
      <c r="AW60" s="1640" t="str">
        <f>IF((LEN(E60)-LEN(SUBSTITUTE(E60,".","")))/LEN(".")=1,"p","")</f>
        <v/>
      </c>
      <c r="AX60" s="1640"/>
      <c r="AY60" s="1640"/>
      <c r="BD60" s="1640"/>
      <c r="BG60" s="548"/>
      <c r="BM60" s="1636"/>
      <c r="BN60" s="1636"/>
      <c r="BO60" s="1636"/>
      <c r="BP60" s="1636"/>
      <c r="BQ60" s="1636"/>
      <c r="BR60" s="1164">
        <v>11</v>
      </c>
    </row>
    <row s="1370" customFormat="1" customHeight="1" ht="33.333333333333336">
      <c r="A61" s="991"/>
      <c r="C61" s="1640"/>
      <c r="D61" s="579"/>
      <c r="E61" s="550" t="str">
        <f>FHD_NUM_P_25</f>
        <v>2.8.2</v>
      </c>
      <c r="F61" s="1654" t="str">
        <f>FHD_P_25</f>
        <v>Расходы на капитальный ремонт</v>
      </c>
      <c r="G61" s="1879" t="s">
        <v>690</v>
      </c>
      <c r="H61" s="561"/>
      <c r="I61" s="561">
        <v>0</v>
      </c>
      <c r="J61" s="561">
        <v>0</v>
      </c>
      <c r="K61" s="561">
        <v>0</v>
      </c>
      <c r="L61" s="561">
        <v>0</v>
      </c>
      <c r="M61" s="561">
        <v>0</v>
      </c>
      <c r="N61" s="561">
        <v>0</v>
      </c>
      <c r="O61" s="561">
        <v>0</v>
      </c>
      <c r="P61" s="561">
        <v>0</v>
      </c>
      <c r="Q61" s="561">
        <v>0</v>
      </c>
      <c r="R61" s="561">
        <v>0</v>
      </c>
      <c r="S61" s="561">
        <v>0</v>
      </c>
      <c r="T61" s="561">
        <v>0</v>
      </c>
      <c r="U61" s="561">
        <v>0</v>
      </c>
      <c r="V61" s="561">
        <v>0</v>
      </c>
      <c r="W61" s="561">
        <v>0</v>
      </c>
      <c r="X61" s="561">
        <v>0</v>
      </c>
      <c r="Y61" s="561">
        <v>0</v>
      </c>
      <c r="Z61" s="561">
        <v>0</v>
      </c>
      <c r="AA61" s="561">
        <v>0</v>
      </c>
      <c r="AB61" s="561">
        <v>0</v>
      </c>
      <c r="AC61" s="561">
        <v>0</v>
      </c>
      <c r="AD61" s="561">
        <v>0</v>
      </c>
      <c r="AE61" s="561">
        <v>0</v>
      </c>
      <c r="AF61" s="561">
        <v>0</v>
      </c>
      <c r="AG61" s="561">
        <v>0</v>
      </c>
      <c r="AH61" s="561">
        <v>0</v>
      </c>
      <c r="AI61" s="561">
        <v>0</v>
      </c>
      <c r="AJ61" s="561">
        <v>0</v>
      </c>
      <c r="AK61" s="561">
        <v>0</v>
      </c>
      <c r="AL61" s="561">
        <v>0</v>
      </c>
      <c r="AM61" s="561">
        <v>0</v>
      </c>
      <c r="AN61" s="561">
        <v>0</v>
      </c>
      <c r="AO61" s="561">
        <v>0</v>
      </c>
      <c r="AP61" s="561">
        <v>0</v>
      </c>
      <c r="AQ61" s="561">
        <v>0</v>
      </c>
      <c r="AR61" s="561">
        <v>0</v>
      </c>
      <c r="AS61" s="561">
        <v>0</v>
      </c>
      <c r="AT61" s="561">
        <v>0</v>
      </c>
      <c r="AU61" s="561">
        <v>0</v>
      </c>
      <c r="AV61" s="293" t="str">
        <f>FHD_NOTE_P_25</f>
        <v>Указываются расходы на капитальный ремонт, отнесенные к общепроизводственным расходам.</v>
      </c>
      <c r="AW61" s="1640" t="str">
        <f>IF((LEN(E61)-LEN(SUBSTITUTE(E61,".","")))/LEN(".")=1,"p","")</f>
        <v/>
      </c>
      <c r="AX61" s="1640"/>
      <c r="AY61" s="1640"/>
      <c r="BD61" s="1640"/>
      <c r="BG61" s="548"/>
      <c r="BM61" s="1636"/>
      <c r="BN61" s="1636"/>
      <c r="BO61" s="1636"/>
      <c r="BP61" s="1636"/>
      <c r="BQ61" s="1636"/>
      <c r="BR61" s="1164">
        <v>11</v>
      </c>
    </row>
    <row s="1370" customFormat="1" customHeight="1" ht="33.333333333333336">
      <c r="A62" s="991"/>
      <c r="C62" s="1640"/>
      <c r="D62" s="1642"/>
      <c r="E62" s="550" t="str">
        <f>FHD_NUM_P_26</f>
        <v>2.9</v>
      </c>
      <c r="F62" s="1528" t="str">
        <f>FHD_P_26</f>
        <v>Общехозяйственные расходы, в том числе:</v>
      </c>
      <c r="G62" s="1879" t="s">
        <v>690</v>
      </c>
      <c r="H62" s="561"/>
      <c r="I62" s="561">
        <v>0</v>
      </c>
      <c r="J62" s="561">
        <v>0</v>
      </c>
      <c r="K62" s="561">
        <v>7.8</v>
      </c>
      <c r="L62" s="561">
        <v>0</v>
      </c>
      <c r="M62" s="561">
        <v>0</v>
      </c>
      <c r="N62" s="561">
        <v>0</v>
      </c>
      <c r="O62" s="561">
        <v>0</v>
      </c>
      <c r="P62" s="561">
        <v>0</v>
      </c>
      <c r="Q62" s="561">
        <v>0</v>
      </c>
      <c r="R62" s="561">
        <v>1.58</v>
      </c>
      <c r="S62" s="561">
        <v>0</v>
      </c>
      <c r="T62" s="561">
        <v>0</v>
      </c>
      <c r="U62" s="561">
        <v>150.3</v>
      </c>
      <c r="V62" s="561">
        <v>8126.34</v>
      </c>
      <c r="W62" s="561">
        <v>0</v>
      </c>
      <c r="X62" s="561">
        <v>157.1</v>
      </c>
      <c r="Y62" s="561">
        <v>30.44</v>
      </c>
      <c r="Z62" s="561">
        <v>0</v>
      </c>
      <c r="AA62" s="561">
        <v>550.84</v>
      </c>
      <c r="AB62" s="561">
        <v>0</v>
      </c>
      <c r="AC62" s="561">
        <v>1.33</v>
      </c>
      <c r="AD62" s="561">
        <v>0</v>
      </c>
      <c r="AE62" s="561">
        <v>1.04</v>
      </c>
      <c r="AF62" s="561">
        <v>120.76</v>
      </c>
      <c r="AG62" s="561">
        <v>0</v>
      </c>
      <c r="AH62" s="561">
        <v>0</v>
      </c>
      <c r="AI62" s="561">
        <v>0</v>
      </c>
      <c r="AJ62" s="561">
        <v>8.88</v>
      </c>
      <c r="AK62" s="561">
        <v>0</v>
      </c>
      <c r="AL62" s="561">
        <v>0</v>
      </c>
      <c r="AM62" s="561">
        <v>0</v>
      </c>
      <c r="AN62" s="561">
        <v>0</v>
      </c>
      <c r="AO62" s="561">
        <v>0</v>
      </c>
      <c r="AP62" s="561">
        <v>0</v>
      </c>
      <c r="AQ62" s="561">
        <v>0</v>
      </c>
      <c r="AR62" s="561">
        <v>0</v>
      </c>
      <c r="AS62" s="561">
        <v>0.09</v>
      </c>
      <c r="AT62" s="561">
        <v>0</v>
      </c>
      <c r="AU62" s="561">
        <v>0</v>
      </c>
      <c r="AV62" s="293" t="str">
        <f>FHD_NOTE_P_26</f>
        <v>Указывается общая сумма общехозяйственных расходов.</v>
      </c>
      <c r="AW62" s="1640" t="str">
        <f>IF((LEN(E62)-LEN(SUBSTITUTE(E62,".","")))/LEN(".")=1,"p","")</f>
        <v>p</v>
      </c>
      <c r="AX62" s="1640"/>
      <c r="AY62" s="1640"/>
      <c r="BD62" s="1640"/>
      <c r="BG62" s="548"/>
      <c r="BM62" s="1636"/>
      <c r="BN62" s="1636"/>
      <c r="BO62" s="1636"/>
      <c r="BP62" s="1636"/>
      <c r="BQ62" s="1636"/>
      <c r="BR62" s="1164">
        <v>11</v>
      </c>
    </row>
    <row s="1370" customFormat="1" customHeight="1" ht="33.333333333333336">
      <c r="A63" s="991"/>
      <c r="C63" s="1640"/>
      <c r="D63" s="1642"/>
      <c r="E63" s="550" t="str">
        <f>FHD_NUM_P_27</f>
        <v>2.9.1</v>
      </c>
      <c r="F63" s="1654" t="str">
        <f>FHD_P_27</f>
        <v>Расходы на текущий ремонт</v>
      </c>
      <c r="G63" s="1879" t="s">
        <v>690</v>
      </c>
      <c r="H63" s="561"/>
      <c r="I63" s="561">
        <v>0</v>
      </c>
      <c r="J63" s="561">
        <v>0</v>
      </c>
      <c r="K63" s="561">
        <v>0</v>
      </c>
      <c r="L63" s="561">
        <v>0</v>
      </c>
      <c r="M63" s="561">
        <v>0</v>
      </c>
      <c r="N63" s="561">
        <v>0</v>
      </c>
      <c r="O63" s="561">
        <v>0</v>
      </c>
      <c r="P63" s="561">
        <v>0</v>
      </c>
      <c r="Q63" s="561">
        <v>0</v>
      </c>
      <c r="R63" s="561">
        <v>0</v>
      </c>
      <c r="S63" s="561">
        <v>0</v>
      </c>
      <c r="T63" s="561">
        <v>0</v>
      </c>
      <c r="U63" s="561">
        <v>0</v>
      </c>
      <c r="V63" s="561">
        <v>0</v>
      </c>
      <c r="W63" s="561">
        <v>0</v>
      </c>
      <c r="X63" s="561">
        <v>0</v>
      </c>
      <c r="Y63" s="561">
        <v>0</v>
      </c>
      <c r="Z63" s="561">
        <v>0</v>
      </c>
      <c r="AA63" s="561">
        <v>0</v>
      </c>
      <c r="AB63" s="561">
        <v>0</v>
      </c>
      <c r="AC63" s="561">
        <v>0</v>
      </c>
      <c r="AD63" s="561">
        <v>0</v>
      </c>
      <c r="AE63" s="561">
        <v>0</v>
      </c>
      <c r="AF63" s="561">
        <v>0</v>
      </c>
      <c r="AG63" s="561">
        <v>0</v>
      </c>
      <c r="AH63" s="561">
        <v>0</v>
      </c>
      <c r="AI63" s="561">
        <v>0</v>
      </c>
      <c r="AJ63" s="561">
        <v>0</v>
      </c>
      <c r="AK63" s="561">
        <v>0</v>
      </c>
      <c r="AL63" s="561">
        <v>0</v>
      </c>
      <c r="AM63" s="561">
        <v>0</v>
      </c>
      <c r="AN63" s="561">
        <v>0</v>
      </c>
      <c r="AO63" s="561">
        <v>0</v>
      </c>
      <c r="AP63" s="561">
        <v>0</v>
      </c>
      <c r="AQ63" s="561">
        <v>0</v>
      </c>
      <c r="AR63" s="561">
        <v>0</v>
      </c>
      <c r="AS63" s="561">
        <v>0</v>
      </c>
      <c r="AT63" s="561">
        <v>0</v>
      </c>
      <c r="AU63" s="561">
        <v>0</v>
      </c>
      <c r="AV63" s="293" t="str">
        <f>FHD_NOTE_P_27</f>
        <v>Указываются расходы на текущий ремонт, отнесенные к общехозяйственным расходам.</v>
      </c>
      <c r="AW63" s="1640" t="str">
        <f>IF((LEN(E63)-LEN(SUBSTITUTE(E63,".","")))/LEN(".")=1,"p","")</f>
        <v/>
      </c>
      <c r="AX63" s="1640"/>
      <c r="AY63" s="1640"/>
      <c r="BD63" s="1640"/>
      <c r="BG63" s="548"/>
      <c r="BM63" s="1636"/>
      <c r="BN63" s="1636"/>
      <c r="BO63" s="1636"/>
      <c r="BP63" s="1636"/>
      <c r="BQ63" s="1636"/>
      <c r="BR63" s="1164">
        <v>11</v>
      </c>
    </row>
    <row s="1370" customFormat="1" customHeight="1" ht="33.333333333333336">
      <c r="A64" s="991"/>
      <c r="C64" s="1640"/>
      <c r="D64" s="1642"/>
      <c r="E64" s="550" t="str">
        <f>FHD_NUM_P_28</f>
        <v>2.9.2</v>
      </c>
      <c r="F64" s="1654" t="str">
        <f>FHD_P_28</f>
        <v>Расходы на капитальный ремонт</v>
      </c>
      <c r="G64" s="1879" t="s">
        <v>690</v>
      </c>
      <c r="H64" s="561"/>
      <c r="I64" s="561">
        <v>0</v>
      </c>
      <c r="J64" s="561">
        <v>0</v>
      </c>
      <c r="K64" s="561">
        <v>0</v>
      </c>
      <c r="L64" s="561">
        <v>0</v>
      </c>
      <c r="M64" s="561">
        <v>0</v>
      </c>
      <c r="N64" s="561">
        <v>0</v>
      </c>
      <c r="O64" s="561">
        <v>0</v>
      </c>
      <c r="P64" s="561">
        <v>0</v>
      </c>
      <c r="Q64" s="561">
        <v>0</v>
      </c>
      <c r="R64" s="561">
        <v>0</v>
      </c>
      <c r="S64" s="561">
        <v>0</v>
      </c>
      <c r="T64" s="561">
        <v>0</v>
      </c>
      <c r="U64" s="561">
        <v>0</v>
      </c>
      <c r="V64" s="561">
        <v>0</v>
      </c>
      <c r="W64" s="561">
        <v>0</v>
      </c>
      <c r="X64" s="561">
        <v>0</v>
      </c>
      <c r="Y64" s="561">
        <v>0</v>
      </c>
      <c r="Z64" s="561">
        <v>0</v>
      </c>
      <c r="AA64" s="561">
        <v>0</v>
      </c>
      <c r="AB64" s="561">
        <v>0</v>
      </c>
      <c r="AC64" s="561">
        <v>0</v>
      </c>
      <c r="AD64" s="561">
        <v>0</v>
      </c>
      <c r="AE64" s="561">
        <v>0</v>
      </c>
      <c r="AF64" s="561">
        <v>0</v>
      </c>
      <c r="AG64" s="561">
        <v>0</v>
      </c>
      <c r="AH64" s="561">
        <v>0</v>
      </c>
      <c r="AI64" s="561">
        <v>0</v>
      </c>
      <c r="AJ64" s="561">
        <v>0</v>
      </c>
      <c r="AK64" s="561">
        <v>0</v>
      </c>
      <c r="AL64" s="561">
        <v>0</v>
      </c>
      <c r="AM64" s="561">
        <v>0</v>
      </c>
      <c r="AN64" s="561">
        <v>0</v>
      </c>
      <c r="AO64" s="561">
        <v>0</v>
      </c>
      <c r="AP64" s="561">
        <v>0</v>
      </c>
      <c r="AQ64" s="561">
        <v>0</v>
      </c>
      <c r="AR64" s="561">
        <v>0</v>
      </c>
      <c r="AS64" s="561">
        <v>0</v>
      </c>
      <c r="AT64" s="561">
        <v>0</v>
      </c>
      <c r="AU64" s="561">
        <v>0</v>
      </c>
      <c r="AV64" s="293" t="str">
        <f>FHD_NOTE_P_28</f>
        <v>Указываются расходы на капитальный ремонт, отнесенные к общехозяйственным расходам.</v>
      </c>
      <c r="AW64" s="1640" t="str">
        <f>IF((LEN(E64)-LEN(SUBSTITUTE(E64,".","")))/LEN(".")=1,"p","")</f>
        <v/>
      </c>
      <c r="AX64" s="1640"/>
      <c r="AY64" s="1640"/>
      <c r="BD64" s="1640"/>
      <c r="BG64" s="548"/>
      <c r="BM64" s="1636"/>
      <c r="BN64" s="1636"/>
      <c r="BO64" s="1636"/>
      <c r="BP64" s="1636"/>
      <c r="BQ64" s="1636"/>
      <c r="BR64" s="1164">
        <v>11</v>
      </c>
    </row>
    <row s="1370" customFormat="1" customHeight="1" ht="33.333333333333336">
      <c r="A65" s="991"/>
      <c r="C65" s="1640"/>
      <c r="D65" s="1642"/>
      <c r="E65" s="550" t="str">
        <f>FHD_NUM_P_29</f>
        <v>2.10</v>
      </c>
      <c r="F65" s="1528" t="str">
        <f>FHD_P_29</f>
        <v>Расходы на капитальный и текущий ремонт основных средств</v>
      </c>
      <c r="G65" s="1879" t="s">
        <v>690</v>
      </c>
      <c r="H65" s="561"/>
      <c r="I65" s="561">
        <v>17.5</v>
      </c>
      <c r="J65" s="561">
        <v>0</v>
      </c>
      <c r="K65" s="561">
        <v>38.85</v>
      </c>
      <c r="L65" s="561">
        <v>0</v>
      </c>
      <c r="M65" s="561">
        <v>0</v>
      </c>
      <c r="N65" s="561">
        <v>133.34</v>
      </c>
      <c r="O65" s="561">
        <v>201.98</v>
      </c>
      <c r="P65" s="561">
        <v>1911.87</v>
      </c>
      <c r="Q65" s="561">
        <v>114.79</v>
      </c>
      <c r="R65" s="561">
        <v>827.04</v>
      </c>
      <c r="S65" s="561">
        <v>27.8</v>
      </c>
      <c r="T65" s="561">
        <v>277.38</v>
      </c>
      <c r="U65" s="561">
        <v>70.35</v>
      </c>
      <c r="V65" s="561">
        <v>8663.06</v>
      </c>
      <c r="W65" s="561">
        <v>1038.38</v>
      </c>
      <c r="X65" s="561">
        <v>2995.48</v>
      </c>
      <c r="Y65" s="561">
        <v>1315.89</v>
      </c>
      <c r="Z65" s="561">
        <v>21.57</v>
      </c>
      <c r="AA65" s="561">
        <v>3301.54</v>
      </c>
      <c r="AB65" s="561">
        <v>0</v>
      </c>
      <c r="AC65" s="561">
        <v>2923.52</v>
      </c>
      <c r="AD65" s="561">
        <v>53.49</v>
      </c>
      <c r="AE65" s="561">
        <v>63.89</v>
      </c>
      <c r="AF65" s="561">
        <v>9.04</v>
      </c>
      <c r="AG65" s="561">
        <v>1.7</v>
      </c>
      <c r="AH65" s="561">
        <v>0</v>
      </c>
      <c r="AI65" s="561">
        <v>207.14</v>
      </c>
      <c r="AJ65" s="561">
        <v>189.14</v>
      </c>
      <c r="AK65" s="561">
        <v>150.28</v>
      </c>
      <c r="AL65" s="561">
        <v>0</v>
      </c>
      <c r="AM65" s="561">
        <v>0</v>
      </c>
      <c r="AN65" s="561">
        <v>0</v>
      </c>
      <c r="AO65" s="561">
        <v>0</v>
      </c>
      <c r="AP65" s="561">
        <v>0</v>
      </c>
      <c r="AQ65" s="561">
        <v>0</v>
      </c>
      <c r="AR65" s="561">
        <v>0</v>
      </c>
      <c r="AS65" s="561">
        <v>0</v>
      </c>
      <c r="AT65" s="561">
        <v>0</v>
      </c>
      <c r="AU65" s="561">
        <v>0</v>
      </c>
      <c r="AV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W65" s="1640" t="str">
        <f>IF((LEN(E65)-LEN(SUBSTITUTE(E65,".","")))/LEN(".")=1,"p","")</f>
        <v>p</v>
      </c>
      <c r="AX65" s="1640"/>
      <c r="AY65" s="1640"/>
      <c r="BD65" s="1640"/>
      <c r="BG65" s="548"/>
      <c r="BM65" s="1636"/>
      <c r="BN65" s="1636"/>
      <c r="BO65" s="1636"/>
      <c r="BP65" s="1636"/>
      <c r="BQ65" s="1636"/>
      <c r="BR65" s="1164">
        <v>11</v>
      </c>
    </row>
    <row s="1370" customFormat="1" customHeight="1" ht="33.333333333333336">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444</v>
      </c>
      <c r="H66" s="1653" t="s">
        <v>713</v>
      </c>
      <c r="I66" s="1653" t="s">
        <v>713</v>
      </c>
      <c r="J66" s="2502" t="s">
        <v>713</v>
      </c>
      <c r="K66" s="2502" t="s">
        <v>713</v>
      </c>
      <c r="L66" s="2502" t="s">
        <v>713</v>
      </c>
      <c r="M66" s="2502" t="s">
        <v>713</v>
      </c>
      <c r="N66" s="2502" t="s">
        <v>713</v>
      </c>
      <c r="O66" s="2502" t="s">
        <v>713</v>
      </c>
      <c r="P66" s="2502" t="s">
        <v>713</v>
      </c>
      <c r="Q66" s="2502" t="s">
        <v>713</v>
      </c>
      <c r="R66" s="2502" t="s">
        <v>713</v>
      </c>
      <c r="S66" s="2502" t="s">
        <v>713</v>
      </c>
      <c r="T66" s="2502" t="s">
        <v>713</v>
      </c>
      <c r="U66" s="2502" t="s">
        <v>713</v>
      </c>
      <c r="V66" s="2502" t="s">
        <v>713</v>
      </c>
      <c r="W66" s="2502" t="s">
        <v>713</v>
      </c>
      <c r="X66" s="2502" t="s">
        <v>713</v>
      </c>
      <c r="Y66" s="2502" t="s">
        <v>713</v>
      </c>
      <c r="Z66" s="2502" t="s">
        <v>713</v>
      </c>
      <c r="AA66" s="2502" t="s">
        <v>713</v>
      </c>
      <c r="AB66" s="2502" t="s">
        <v>713</v>
      </c>
      <c r="AC66" s="2502" t="s">
        <v>713</v>
      </c>
      <c r="AD66" s="2502" t="s">
        <v>713</v>
      </c>
      <c r="AE66" s="2502" t="s">
        <v>713</v>
      </c>
      <c r="AF66" s="2502" t="s">
        <v>713</v>
      </c>
      <c r="AG66" s="2502" t="s">
        <v>713</v>
      </c>
      <c r="AH66" s="2502" t="s">
        <v>713</v>
      </c>
      <c r="AI66" s="2502" t="s">
        <v>713</v>
      </c>
      <c r="AJ66" s="2502" t="s">
        <v>713</v>
      </c>
      <c r="AK66" s="2502" t="s">
        <v>713</v>
      </c>
      <c r="AL66" s="2502" t="s">
        <v>713</v>
      </c>
      <c r="AM66" s="2502" t="s">
        <v>713</v>
      </c>
      <c r="AN66" s="2502" t="s">
        <v>713</v>
      </c>
      <c r="AO66" s="2502" t="s">
        <v>713</v>
      </c>
      <c r="AP66" s="2502" t="s">
        <v>713</v>
      </c>
      <c r="AQ66" s="2502" t="s">
        <v>713</v>
      </c>
      <c r="AR66" s="2502" t="s">
        <v>713</v>
      </c>
      <c r="AS66" s="2502" t="s">
        <v>713</v>
      </c>
      <c r="AT66" s="2502" t="s">
        <v>713</v>
      </c>
      <c r="AU66" s="2502" t="s">
        <v>713</v>
      </c>
      <c r="AV66" s="293" t="str">
        <f>FHD_NOTE_P_30</f>
        <v/>
      </c>
      <c r="AW66" s="1640" t="str">
        <f>IF((LEN(E66)-LEN(SUBSTITUTE(E66,".","")))/LEN(".")=1,"p","")</f>
        <v/>
      </c>
      <c r="AX66" s="1640">
        <f>_xlfn.IFERROR(MATCH("есть",B_FHD_FLAG_INDEX_1,0),0)</f>
        <v>0</v>
      </c>
      <c r="AY66" s="1640"/>
      <c r="BD66" s="1640"/>
      <c r="BG66" s="548"/>
      <c r="BM66" s="1636"/>
      <c r="BN66" s="1636"/>
      <c r="BO66" s="1636"/>
      <c r="BP66" s="1636"/>
      <c r="BQ66" s="1636"/>
      <c r="BR66" s="1164">
        <v>11</v>
      </c>
    </row>
    <row s="1370" customFormat="1" customHeight="1" ht="33.333333333333336">
      <c r="A67" s="2388" t="s">
        <v>714</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690</v>
      </c>
      <c r="H67" s="561"/>
      <c r="I67" s="561">
        <v>93.56</v>
      </c>
      <c r="J67" s="561">
        <v>0</v>
      </c>
      <c r="K67" s="561">
        <v>1.89</v>
      </c>
      <c r="L67" s="561">
        <v>0</v>
      </c>
      <c r="M67" s="561">
        <v>94.63</v>
      </c>
      <c r="N67" s="561">
        <v>135.65</v>
      </c>
      <c r="O67" s="561">
        <v>186.27</v>
      </c>
      <c r="P67" s="561">
        <v>66.56</v>
      </c>
      <c r="Q67" s="561">
        <v>73.49</v>
      </c>
      <c r="R67" s="561">
        <v>175.53</v>
      </c>
      <c r="S67" s="561">
        <v>184.75</v>
      </c>
      <c r="T67" s="561">
        <v>233.57</v>
      </c>
      <c r="U67" s="561">
        <v>207.84</v>
      </c>
      <c r="V67" s="561">
        <v>74.91</v>
      </c>
      <c r="W67" s="561">
        <v>420.23</v>
      </c>
      <c r="X67" s="561">
        <v>131.57</v>
      </c>
      <c r="Y67" s="561">
        <v>50.67</v>
      </c>
      <c r="Z67" s="561">
        <v>16.61</v>
      </c>
      <c r="AA67" s="561">
        <v>39.4</v>
      </c>
      <c r="AB67" s="561">
        <v>73.37</v>
      </c>
      <c r="AC67" s="561">
        <v>492.64</v>
      </c>
      <c r="AD67" s="561">
        <v>112.64</v>
      </c>
      <c r="AE67" s="561">
        <v>40.66</v>
      </c>
      <c r="AF67" s="561">
        <v>0</v>
      </c>
      <c r="AG67" s="561">
        <v>17.77</v>
      </c>
      <c r="AH67" s="561">
        <v>38.29</v>
      </c>
      <c r="AI67" s="561">
        <v>182.49</v>
      </c>
      <c r="AJ67" s="561">
        <v>9.67</v>
      </c>
      <c r="AK67" s="561">
        <v>229.77</v>
      </c>
      <c r="AL67" s="561">
        <v>0</v>
      </c>
      <c r="AM67" s="561">
        <v>0</v>
      </c>
      <c r="AN67" s="561">
        <v>0</v>
      </c>
      <c r="AO67" s="561">
        <v>0</v>
      </c>
      <c r="AP67" s="561">
        <v>0</v>
      </c>
      <c r="AQ67" s="561">
        <v>0</v>
      </c>
      <c r="AR67" s="561">
        <v>17.03</v>
      </c>
      <c r="AS67" s="561">
        <v>0</v>
      </c>
      <c r="AT67" s="561">
        <v>0</v>
      </c>
      <c r="AU67" s="561">
        <v>0</v>
      </c>
      <c r="AV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W67" s="1640" t="str">
        <f>IF((LEN(E67)-LEN(SUBSTITUTE(E67,".","")))/LEN(".")=1,"p","")</f>
        <v>p</v>
      </c>
      <c r="AX67" s="1640"/>
      <c r="AY67" s="1640"/>
      <c r="BD67" s="1640"/>
      <c r="BG67" s="548"/>
      <c r="BM67" s="1636"/>
      <c r="BN67" s="1636"/>
      <c r="BO67" s="1636"/>
      <c r="BP67" s="1636"/>
      <c r="BQ67" s="1636"/>
      <c r="BR67" s="1164">
        <v>22</v>
      </c>
    </row>
    <row s="1370" customFormat="1" customHeight="1" ht="33.333333333333336">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444</v>
      </c>
      <c r="H68" s="1653" t="s">
        <v>713</v>
      </c>
      <c r="I68" s="1653" t="s">
        <v>713</v>
      </c>
      <c r="J68" s="2502" t="s">
        <v>713</v>
      </c>
      <c r="K68" s="2502" t="s">
        <v>713</v>
      </c>
      <c r="L68" s="2502" t="s">
        <v>713</v>
      </c>
      <c r="M68" s="2502" t="s">
        <v>713</v>
      </c>
      <c r="N68" s="2502" t="s">
        <v>713</v>
      </c>
      <c r="O68" s="2502" t="s">
        <v>713</v>
      </c>
      <c r="P68" s="2502" t="s">
        <v>713</v>
      </c>
      <c r="Q68" s="2502" t="s">
        <v>713</v>
      </c>
      <c r="R68" s="2502" t="s">
        <v>713</v>
      </c>
      <c r="S68" s="2502" t="s">
        <v>713</v>
      </c>
      <c r="T68" s="2502" t="s">
        <v>713</v>
      </c>
      <c r="U68" s="2502" t="s">
        <v>713</v>
      </c>
      <c r="V68" s="2502" t="s">
        <v>713</v>
      </c>
      <c r="W68" s="2502" t="s">
        <v>713</v>
      </c>
      <c r="X68" s="2502" t="s">
        <v>713</v>
      </c>
      <c r="Y68" s="2502" t="s">
        <v>713</v>
      </c>
      <c r="Z68" s="2502" t="s">
        <v>713</v>
      </c>
      <c r="AA68" s="2502" t="s">
        <v>713</v>
      </c>
      <c r="AB68" s="2502" t="s">
        <v>713</v>
      </c>
      <c r="AC68" s="2502" t="s">
        <v>713</v>
      </c>
      <c r="AD68" s="2502" t="s">
        <v>713</v>
      </c>
      <c r="AE68" s="2502" t="s">
        <v>713</v>
      </c>
      <c r="AF68" s="2502" t="s">
        <v>713</v>
      </c>
      <c r="AG68" s="2502" t="s">
        <v>713</v>
      </c>
      <c r="AH68" s="2502" t="s">
        <v>713</v>
      </c>
      <c r="AI68" s="2502" t="s">
        <v>713</v>
      </c>
      <c r="AJ68" s="2502" t="s">
        <v>713</v>
      </c>
      <c r="AK68" s="2502" t="s">
        <v>713</v>
      </c>
      <c r="AL68" s="2502" t="s">
        <v>713</v>
      </c>
      <c r="AM68" s="2502" t="s">
        <v>713</v>
      </c>
      <c r="AN68" s="2502" t="s">
        <v>713</v>
      </c>
      <c r="AO68" s="2502" t="s">
        <v>713</v>
      </c>
      <c r="AP68" s="2502" t="s">
        <v>713</v>
      </c>
      <c r="AQ68" s="2502" t="s">
        <v>713</v>
      </c>
      <c r="AR68" s="2502" t="s">
        <v>713</v>
      </c>
      <c r="AS68" s="2502" t="s">
        <v>713</v>
      </c>
      <c r="AT68" s="2502" t="s">
        <v>713</v>
      </c>
      <c r="AU68" s="2502" t="s">
        <v>713</v>
      </c>
      <c r="AV68" s="293" t="str">
        <f>FHD_NOTE_P_32</f>
        <v/>
      </c>
      <c r="AW68" s="1640" t="str">
        <f>IF((LEN(E68)-LEN(SUBSTITUTE(E68,".","")))/LEN(".")=1,"p","")</f>
        <v/>
      </c>
      <c r="AX68" s="1640">
        <f>_xlfn.IFERROR(MATCH("есть",B_FHD_FLAG_INDEX_2,0),0)</f>
        <v>0</v>
      </c>
      <c r="AY68" s="1640"/>
      <c r="BD68" s="1640"/>
      <c r="BG68" s="548"/>
      <c r="BM68" s="1636"/>
      <c r="BN68" s="1636"/>
      <c r="BO68" s="1636"/>
      <c r="BP68" s="1636"/>
      <c r="BQ68" s="1636"/>
      <c r="BR68" s="1164">
        <v>45</v>
      </c>
    </row>
    <row s="1370" customFormat="1" customHeight="1" ht="33.333333333333336">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690</v>
      </c>
      <c r="H69" s="583">
        <f>SUM(H70:H77)</f>
        <v>0</v>
      </c>
      <c r="I69" s="583">
        <f>SUM(I70:I77)</f>
        <v>198.84</v>
      </c>
      <c r="J69" s="583">
        <f>SUM(J70:J77)</f>
        <v>0</v>
      </c>
      <c r="K69" s="583">
        <f>SUM(K70:K77)</f>
        <v>5559.73</v>
      </c>
      <c r="L69" s="583">
        <f>SUM(L70:L77)</f>
        <v>154.63</v>
      </c>
      <c r="M69" s="583">
        <f>SUM(M70:M77)</f>
        <v>757.29</v>
      </c>
      <c r="N69" s="583">
        <f>SUM(N70:N77)</f>
        <v>651.55</v>
      </c>
      <c r="O69" s="583">
        <f>SUM(O70:O77)</f>
        <v>687.96</v>
      </c>
      <c r="P69" s="583">
        <f>SUM(P70:P77)</f>
        <v>1141.48</v>
      </c>
      <c r="Q69" s="583">
        <f>SUM(Q70:Q77)</f>
        <v>466.76</v>
      </c>
      <c r="R69" s="583">
        <f>SUM(R70:R77)</f>
        <v>2166.14</v>
      </c>
      <c r="S69" s="583">
        <f>SUM(S70:S77)</f>
        <v>279.96</v>
      </c>
      <c r="T69" s="583">
        <f>SUM(T70:T77)</f>
        <v>591.39</v>
      </c>
      <c r="U69" s="583">
        <f>SUM(U70:U77)</f>
        <v>522.77</v>
      </c>
      <c r="V69" s="583">
        <f>SUM(V70:V77)</f>
        <v>26058.62</v>
      </c>
      <c r="W69" s="583">
        <f>SUM(W70:W77)</f>
        <v>12489.77</v>
      </c>
      <c r="X69" s="583">
        <f>SUM(X70:X77)</f>
        <v>36086.28</v>
      </c>
      <c r="Y69" s="583">
        <f>SUM(Y70:Y77)</f>
        <v>6940.55</v>
      </c>
      <c r="Z69" s="583">
        <f>SUM(Z70:Z77)</f>
        <v>834.83</v>
      </c>
      <c r="AA69" s="583">
        <f>SUM(AA70:AA77)</f>
        <v>28600.4</v>
      </c>
      <c r="AB69" s="583">
        <f>SUM(AB70:AB77)</f>
        <v>81.99</v>
      </c>
      <c r="AC69" s="583">
        <f>SUM(AC70:AC77)</f>
        <v>9692.83</v>
      </c>
      <c r="AD69" s="583">
        <f>SUM(AD70:AD77)</f>
        <v>204.26</v>
      </c>
      <c r="AE69" s="583">
        <f>SUM(AE70:AE77)</f>
        <v>27.24</v>
      </c>
      <c r="AF69" s="583">
        <f>SUM(AF70:AF77)</f>
        <v>16.24</v>
      </c>
      <c r="AG69" s="583">
        <f>SUM(AG70:AG77)</f>
        <v>1070.5</v>
      </c>
      <c r="AH69" s="583">
        <f>SUM(AH70:AH77)</f>
        <v>17.18</v>
      </c>
      <c r="AI69" s="583">
        <f>SUM(AI70:AI77)</f>
        <v>938.42</v>
      </c>
      <c r="AJ69" s="583">
        <f>SUM(AJ70:AJ77)</f>
        <v>5013.02</v>
      </c>
      <c r="AK69" s="583">
        <f>SUM(AK70:AK77)</f>
        <v>131.12</v>
      </c>
      <c r="AL69" s="583">
        <f>SUM(AL70:AL77)</f>
        <v>0</v>
      </c>
      <c r="AM69" s="583">
        <f>SUM(AM70:AM77)</f>
        <v>0</v>
      </c>
      <c r="AN69" s="583">
        <f>SUM(AN70:AN77)</f>
        <v>0</v>
      </c>
      <c r="AO69" s="583">
        <f>SUM(AO70:AO77)</f>
        <v>0</v>
      </c>
      <c r="AP69" s="583">
        <f>SUM(AP70:AP77)</f>
        <v>0</v>
      </c>
      <c r="AQ69" s="583">
        <f>SUM(AQ70:AQ77)</f>
        <v>31.41</v>
      </c>
      <c r="AR69" s="583">
        <f>SUM(AR70:AR77)</f>
        <v>17.33</v>
      </c>
      <c r="AS69" s="583">
        <f>SUM(AS70:AS77)</f>
        <v>4.53</v>
      </c>
      <c r="AT69" s="583">
        <f>SUM(AT70:AT77)</f>
        <v>81.65</v>
      </c>
      <c r="AU69" s="583">
        <f>SUM(AU70:AU77)</f>
        <v>1.71</v>
      </c>
      <c r="AV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W69" s="1640" t="str">
        <f>IF((LEN(E69)-LEN(SUBSTITUTE(E69,".","")))/LEN(".")=1,"p","")</f>
        <v>p</v>
      </c>
      <c r="AX69" s="1640"/>
      <c r="AY69" s="1640"/>
      <c r="BD69" s="1640"/>
      <c r="BG69" s="548"/>
      <c r="BM69" s="1636"/>
      <c r="BN69" s="1636"/>
      <c r="BO69" s="1636"/>
      <c r="BP69" s="1636"/>
      <c r="BQ69" s="1636"/>
      <c r="BR69" s="1164">
        <v>11</v>
      </c>
    </row>
    <row s="1646" customFormat="1" customHeight="1" ht="33.333333333333336">
      <c r="A70" s="1171"/>
      <c r="D70" s="552"/>
      <c r="E70" s="1017" t="str">
        <f>E69&amp;".0"</f>
        <v>2.12.0</v>
      </c>
      <c r="F70" s="995"/>
      <c r="G70" s="1017"/>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7"/>
      <c r="AW70" s="1640" t="str">
        <f>IF((LEN(E70)-LEN(SUBSTITUTE(E70,".","")))/LEN(".")=1,"p","")</f>
        <v/>
      </c>
      <c r="BR70" s="1640">
        <v>1</v>
      </c>
    </row>
    <row s="1636" customFormat="1" customHeight="1" ht="33.333333333333336">
      <c r="A71" s="991"/>
      <c r="B71" s="1370"/>
      <c r="C71" s="1646"/>
      <c r="D71" s="687" t="s">
        <v>103</v>
      </c>
      <c r="E71" s="2383" t="str">
        <f>E69&amp;".1"</f>
        <v>2.12.1</v>
      </c>
      <c r="F71" s="544" t="s">
        <v>715</v>
      </c>
      <c r="G71" s="2383" t="s">
        <v>690</v>
      </c>
      <c r="H71" s="755"/>
      <c r="I71" s="755">
        <v>65.64</v>
      </c>
      <c r="J71" s="755">
        <v>0</v>
      </c>
      <c r="K71" s="755">
        <v>414.95</v>
      </c>
      <c r="L71" s="755">
        <v>0</v>
      </c>
      <c r="M71" s="755">
        <v>332.48</v>
      </c>
      <c r="N71" s="755">
        <v>31.28</v>
      </c>
      <c r="O71" s="755">
        <v>263.53</v>
      </c>
      <c r="P71" s="755">
        <v>503.27</v>
      </c>
      <c r="Q71" s="755">
        <v>201.1</v>
      </c>
      <c r="R71" s="755">
        <v>735.55</v>
      </c>
      <c r="S71" s="755">
        <v>40.91</v>
      </c>
      <c r="T71" s="755">
        <v>317.71</v>
      </c>
      <c r="U71" s="755">
        <v>105.27</v>
      </c>
      <c r="V71" s="755">
        <v>4464.56</v>
      </c>
      <c r="W71" s="755">
        <v>1181.01</v>
      </c>
      <c r="X71" s="755">
        <v>8381.72</v>
      </c>
      <c r="Y71" s="755">
        <v>1190.49</v>
      </c>
      <c r="Z71" s="755">
        <v>77.57</v>
      </c>
      <c r="AA71" s="755">
        <v>4591.94</v>
      </c>
      <c r="AB71" s="755">
        <v>0.49</v>
      </c>
      <c r="AC71" s="755">
        <v>782.36</v>
      </c>
      <c r="AD71" s="755">
        <v>27</v>
      </c>
      <c r="AE71" s="755">
        <v>20.9</v>
      </c>
      <c r="AF71" s="755">
        <v>6.44</v>
      </c>
      <c r="AG71" s="755">
        <v>182.31</v>
      </c>
      <c r="AH71" s="755">
        <v>9.57</v>
      </c>
      <c r="AI71" s="755">
        <v>137.89</v>
      </c>
      <c r="AJ71" s="755">
        <v>551.52</v>
      </c>
      <c r="AK71" s="755">
        <v>5.58</v>
      </c>
      <c r="AL71" s="755">
        <v>0</v>
      </c>
      <c r="AM71" s="755">
        <v>0</v>
      </c>
      <c r="AN71" s="755">
        <v>0</v>
      </c>
      <c r="AO71" s="755">
        <v>0</v>
      </c>
      <c r="AP71" s="755">
        <v>0</v>
      </c>
      <c r="AQ71" s="755">
        <v>0</v>
      </c>
      <c r="AR71" s="755">
        <v>0</v>
      </c>
      <c r="AS71" s="755">
        <v>0</v>
      </c>
      <c r="AT71" s="755">
        <v>0</v>
      </c>
      <c r="AU71" s="755">
        <v>0</v>
      </c>
      <c r="AV71" s="546" t="s">
        <v>693</v>
      </c>
      <c r="AW71" s="738"/>
      <c r="AX71" s="1646"/>
      <c r="AY71" s="1646"/>
      <c r="AZ71" s="1370"/>
      <c r="BA71" s="1370"/>
      <c r="BB71" s="1370"/>
      <c r="BC71" s="1370"/>
      <c r="BD71" s="1646"/>
      <c r="BE71" s="1370"/>
      <c r="BF71" s="1370"/>
      <c r="BG71" s="740"/>
      <c r="BH71" s="1370"/>
      <c r="BI71" s="1370"/>
      <c r="BJ71" s="1370"/>
      <c r="BK71" s="1370"/>
      <c r="BL71" s="1370"/>
      <c r="BM71" s="1636"/>
      <c r="BN71" s="1636"/>
      <c r="BO71" s="1636"/>
      <c r="BP71" s="1636"/>
      <c r="BQ71" s="1636"/>
      <c r="BR71" s="1370">
        <v>0</v>
      </c>
    </row>
    <row s="1636" customFormat="1" customHeight="1" ht="33.333333333333336">
      <c r="A72" s="991"/>
      <c r="B72" s="1370"/>
      <c r="C72" s="1646"/>
      <c r="D72" s="687" t="s">
        <v>103</v>
      </c>
      <c r="E72" s="2383" t="str">
        <f>E69&amp;".2"</f>
        <v>2.12.2</v>
      </c>
      <c r="F72" s="544" t="s">
        <v>716</v>
      </c>
      <c r="G72" s="2383" t="s">
        <v>690</v>
      </c>
      <c r="H72" s="755"/>
      <c r="I72" s="755">
        <v>0</v>
      </c>
      <c r="J72" s="755">
        <v>0</v>
      </c>
      <c r="K72" s="755">
        <v>26.56</v>
      </c>
      <c r="L72" s="755">
        <v>14.32</v>
      </c>
      <c r="M72" s="755">
        <v>0</v>
      </c>
      <c r="N72" s="755">
        <v>0</v>
      </c>
      <c r="O72" s="755">
        <v>0</v>
      </c>
      <c r="P72" s="755">
        <v>0</v>
      </c>
      <c r="Q72" s="755">
        <v>0</v>
      </c>
      <c r="R72" s="755">
        <v>0</v>
      </c>
      <c r="S72" s="755">
        <v>0</v>
      </c>
      <c r="T72" s="755">
        <v>0.89</v>
      </c>
      <c r="U72" s="755">
        <v>0</v>
      </c>
      <c r="V72" s="755">
        <v>50.13</v>
      </c>
      <c r="W72" s="755">
        <v>0</v>
      </c>
      <c r="X72" s="755">
        <v>81.91</v>
      </c>
      <c r="Y72" s="755">
        <v>20.01</v>
      </c>
      <c r="Z72" s="755">
        <v>5.62</v>
      </c>
      <c r="AA72" s="755">
        <v>37.84</v>
      </c>
      <c r="AB72" s="755">
        <v>0</v>
      </c>
      <c r="AC72" s="755">
        <v>0</v>
      </c>
      <c r="AD72" s="755">
        <v>0</v>
      </c>
      <c r="AE72" s="755">
        <v>0</v>
      </c>
      <c r="AF72" s="755">
        <v>0.01</v>
      </c>
      <c r="AG72" s="755">
        <v>1.4</v>
      </c>
      <c r="AH72" s="755">
        <v>2.11</v>
      </c>
      <c r="AI72" s="755">
        <v>4.29</v>
      </c>
      <c r="AJ72" s="755">
        <v>5.18</v>
      </c>
      <c r="AK72" s="755">
        <v>0</v>
      </c>
      <c r="AL72" s="755">
        <v>0</v>
      </c>
      <c r="AM72" s="755">
        <v>0</v>
      </c>
      <c r="AN72" s="755">
        <v>0</v>
      </c>
      <c r="AO72" s="755">
        <v>0</v>
      </c>
      <c r="AP72" s="755">
        <v>0</v>
      </c>
      <c r="AQ72" s="755">
        <v>0</v>
      </c>
      <c r="AR72" s="755">
        <v>2.5</v>
      </c>
      <c r="AS72" s="755">
        <v>0</v>
      </c>
      <c r="AT72" s="755">
        <v>0</v>
      </c>
      <c r="AU72" s="755">
        <v>0</v>
      </c>
      <c r="AV72" s="546" t="s">
        <v>693</v>
      </c>
      <c r="AW72" s="738"/>
      <c r="AX72" s="1646"/>
      <c r="AY72" s="1646"/>
      <c r="AZ72" s="1370"/>
      <c r="BA72" s="1370"/>
      <c r="BB72" s="1370"/>
      <c r="BC72" s="1370"/>
      <c r="BD72" s="1646"/>
      <c r="BE72" s="1370"/>
      <c r="BF72" s="1370"/>
      <c r="BG72" s="740"/>
      <c r="BH72" s="1370"/>
      <c r="BI72" s="1370"/>
      <c r="BJ72" s="1370"/>
      <c r="BK72" s="1370"/>
      <c r="BL72" s="1370"/>
      <c r="BM72" s="1636"/>
      <c r="BN72" s="1636"/>
      <c r="BO72" s="1636"/>
      <c r="BP72" s="1636"/>
      <c r="BQ72" s="1636"/>
      <c r="BR72" s="1370">
        <v>0</v>
      </c>
    </row>
    <row s="1636" customFormat="1" customHeight="1" ht="33.333333333333336">
      <c r="A73" s="991"/>
      <c r="B73" s="1370"/>
      <c r="C73" s="1646"/>
      <c r="D73" s="687" t="s">
        <v>103</v>
      </c>
      <c r="E73" s="2383" t="str">
        <f>E69&amp;".3"</f>
        <v>2.12.3</v>
      </c>
      <c r="F73" s="544" t="s">
        <v>717</v>
      </c>
      <c r="G73" s="2383" t="s">
        <v>690</v>
      </c>
      <c r="H73" s="755"/>
      <c r="I73" s="755">
        <v>35.1</v>
      </c>
      <c r="J73" s="755">
        <v>0</v>
      </c>
      <c r="K73" s="755">
        <v>4.37</v>
      </c>
      <c r="L73" s="755">
        <v>0</v>
      </c>
      <c r="M73" s="755">
        <v>0</v>
      </c>
      <c r="N73" s="755">
        <v>8.52</v>
      </c>
      <c r="O73" s="755">
        <v>197.93</v>
      </c>
      <c r="P73" s="755">
        <v>14.84</v>
      </c>
      <c r="Q73" s="755">
        <v>4.5</v>
      </c>
      <c r="R73" s="755">
        <v>16.97</v>
      </c>
      <c r="S73" s="755">
        <v>49.95</v>
      </c>
      <c r="T73" s="755">
        <v>0</v>
      </c>
      <c r="U73" s="755">
        <v>38.99</v>
      </c>
      <c r="V73" s="755">
        <v>10.8</v>
      </c>
      <c r="W73" s="755">
        <v>61.27</v>
      </c>
      <c r="X73" s="755">
        <v>564.24</v>
      </c>
      <c r="Y73" s="755">
        <v>23.73</v>
      </c>
      <c r="Z73" s="755">
        <v>0</v>
      </c>
      <c r="AA73" s="755">
        <v>32.3</v>
      </c>
      <c r="AB73" s="755">
        <v>0.38</v>
      </c>
      <c r="AC73" s="755">
        <v>38.22</v>
      </c>
      <c r="AD73" s="755">
        <v>0</v>
      </c>
      <c r="AE73" s="755">
        <v>1.12</v>
      </c>
      <c r="AF73" s="755">
        <v>2.4</v>
      </c>
      <c r="AG73" s="755">
        <v>0</v>
      </c>
      <c r="AH73" s="755">
        <v>0</v>
      </c>
      <c r="AI73" s="755">
        <v>0</v>
      </c>
      <c r="AJ73" s="755">
        <v>4.36</v>
      </c>
      <c r="AK73" s="755">
        <v>4.56</v>
      </c>
      <c r="AL73" s="755">
        <v>0</v>
      </c>
      <c r="AM73" s="755">
        <v>0</v>
      </c>
      <c r="AN73" s="755">
        <v>0</v>
      </c>
      <c r="AO73" s="755">
        <v>0</v>
      </c>
      <c r="AP73" s="755">
        <v>0</v>
      </c>
      <c r="AQ73" s="755">
        <v>0</v>
      </c>
      <c r="AR73" s="755">
        <v>0</v>
      </c>
      <c r="AS73" s="755">
        <v>0</v>
      </c>
      <c r="AT73" s="755">
        <v>0</v>
      </c>
      <c r="AU73" s="755">
        <v>0</v>
      </c>
      <c r="AV73" s="546" t="s">
        <v>693</v>
      </c>
      <c r="AW73" s="738"/>
      <c r="AX73" s="1646"/>
      <c r="AY73" s="1646"/>
      <c r="AZ73" s="1370"/>
      <c r="BA73" s="1370"/>
      <c r="BB73" s="1370"/>
      <c r="BC73" s="1370"/>
      <c r="BD73" s="1646"/>
      <c r="BE73" s="1370"/>
      <c r="BF73" s="1370"/>
      <c r="BG73" s="740"/>
      <c r="BH73" s="1370"/>
      <c r="BI73" s="1370"/>
      <c r="BJ73" s="1370"/>
      <c r="BK73" s="1370"/>
      <c r="BL73" s="1370"/>
      <c r="BM73" s="1636"/>
      <c r="BN73" s="1636"/>
      <c r="BO73" s="1636"/>
      <c r="BP73" s="1636"/>
      <c r="BQ73" s="1636"/>
      <c r="BR73" s="1370">
        <v>0</v>
      </c>
    </row>
    <row s="1636" customFormat="1" customHeight="1" ht="33.333333333333336">
      <c r="A74" s="991"/>
      <c r="B74" s="1370"/>
      <c r="C74" s="1646"/>
      <c r="D74" s="687" t="s">
        <v>103</v>
      </c>
      <c r="E74" s="2383" t="str">
        <f>E69&amp;".4"</f>
        <v>2.12.4</v>
      </c>
      <c r="F74" s="544" t="s">
        <v>718</v>
      </c>
      <c r="G74" s="2383" t="s">
        <v>690</v>
      </c>
      <c r="H74" s="755"/>
      <c r="I74" s="755">
        <v>98.1</v>
      </c>
      <c r="J74" s="755">
        <v>0</v>
      </c>
      <c r="K74" s="755">
        <v>4886.54</v>
      </c>
      <c r="L74" s="755">
        <v>0</v>
      </c>
      <c r="M74" s="755">
        <v>414.68</v>
      </c>
      <c r="N74" s="755">
        <v>603.14</v>
      </c>
      <c r="O74" s="755">
        <v>223.82</v>
      </c>
      <c r="P74" s="755">
        <v>89.31</v>
      </c>
      <c r="Q74" s="755">
        <v>137.98</v>
      </c>
      <c r="R74" s="755">
        <v>1242.58</v>
      </c>
      <c r="S74" s="755">
        <v>189.1</v>
      </c>
      <c r="T74" s="755">
        <v>266.51</v>
      </c>
      <c r="U74" s="755">
        <v>129.44</v>
      </c>
      <c r="V74" s="755">
        <v>0</v>
      </c>
      <c r="W74" s="755">
        <v>9675.65</v>
      </c>
      <c r="X74" s="755">
        <v>24509.01</v>
      </c>
      <c r="Y74" s="755">
        <v>5504.45</v>
      </c>
      <c r="Z74" s="755">
        <v>723.31</v>
      </c>
      <c r="AA74" s="755">
        <v>11078.72</v>
      </c>
      <c r="AB74" s="755">
        <v>78.4</v>
      </c>
      <c r="AC74" s="755">
        <v>4308.63</v>
      </c>
      <c r="AD74" s="755">
        <v>70.59</v>
      </c>
      <c r="AE74" s="755">
        <v>5.22</v>
      </c>
      <c r="AF74" s="755">
        <v>4.52</v>
      </c>
      <c r="AG74" s="755">
        <v>882.05</v>
      </c>
      <c r="AH74" s="755">
        <v>0</v>
      </c>
      <c r="AI74" s="755">
        <v>771.18</v>
      </c>
      <c r="AJ74" s="755">
        <v>1966.76</v>
      </c>
      <c r="AK74" s="755">
        <v>111.16</v>
      </c>
      <c r="AL74" s="755">
        <v>0</v>
      </c>
      <c r="AM74" s="755">
        <v>0</v>
      </c>
      <c r="AN74" s="755">
        <v>0</v>
      </c>
      <c r="AO74" s="755">
        <v>0</v>
      </c>
      <c r="AP74" s="755">
        <v>0</v>
      </c>
      <c r="AQ74" s="755">
        <v>0</v>
      </c>
      <c r="AR74" s="755">
        <v>0</v>
      </c>
      <c r="AS74" s="755">
        <v>0</v>
      </c>
      <c r="AT74" s="755">
        <v>0</v>
      </c>
      <c r="AU74" s="755">
        <v>0</v>
      </c>
      <c r="AV74" s="546" t="s">
        <v>693</v>
      </c>
      <c r="AW74" s="738"/>
      <c r="AX74" s="1646"/>
      <c r="AY74" s="1646"/>
      <c r="AZ74" s="1370"/>
      <c r="BA74" s="1370"/>
      <c r="BB74" s="1370"/>
      <c r="BC74" s="1370"/>
      <c r="BD74" s="1646"/>
      <c r="BE74" s="1370"/>
      <c r="BF74" s="1370"/>
      <c r="BG74" s="740"/>
      <c r="BH74" s="1370"/>
      <c r="BI74" s="1370"/>
      <c r="BJ74" s="1370"/>
      <c r="BK74" s="1370"/>
      <c r="BL74" s="1370"/>
      <c r="BM74" s="1636"/>
      <c r="BN74" s="1636"/>
      <c r="BO74" s="1636"/>
      <c r="BP74" s="1636"/>
      <c r="BQ74" s="1636"/>
      <c r="BR74" s="1370">
        <v>0</v>
      </c>
    </row>
    <row s="1636" customFormat="1" customHeight="1" ht="33.333333333333336">
      <c r="A75" s="991"/>
      <c r="B75" s="1370"/>
      <c r="C75" s="1646"/>
      <c r="D75" s="687" t="s">
        <v>103</v>
      </c>
      <c r="E75" s="2383" t="str">
        <f>E69&amp;".5"</f>
        <v>2.12.5</v>
      </c>
      <c r="F75" s="544" t="s">
        <v>719</v>
      </c>
      <c r="G75" s="2383" t="s">
        <v>690</v>
      </c>
      <c r="H75" s="755"/>
      <c r="I75" s="755">
        <v>0</v>
      </c>
      <c r="J75" s="755">
        <v>0</v>
      </c>
      <c r="K75" s="755">
        <v>181.33</v>
      </c>
      <c r="L75" s="755">
        <v>140.31</v>
      </c>
      <c r="M75" s="755">
        <v>0</v>
      </c>
      <c r="N75" s="755">
        <v>0</v>
      </c>
      <c r="O75" s="755">
        <v>0</v>
      </c>
      <c r="P75" s="755">
        <v>0</v>
      </c>
      <c r="Q75" s="755">
        <v>116.88</v>
      </c>
      <c r="R75" s="755">
        <v>0</v>
      </c>
      <c r="S75" s="755">
        <v>0</v>
      </c>
      <c r="T75" s="755">
        <v>0</v>
      </c>
      <c r="U75" s="755">
        <v>229.71</v>
      </c>
      <c r="V75" s="755">
        <v>15206.72</v>
      </c>
      <c r="W75" s="755">
        <v>1473.34</v>
      </c>
      <c r="X75" s="755">
        <v>1720.99</v>
      </c>
      <c r="Y75" s="755">
        <v>0</v>
      </c>
      <c r="Z75" s="755">
        <v>0</v>
      </c>
      <c r="AA75" s="755">
        <v>12510.87</v>
      </c>
      <c r="AB75" s="755">
        <v>2.72</v>
      </c>
      <c r="AC75" s="755">
        <v>4281.49</v>
      </c>
      <c r="AD75" s="755">
        <v>106.67</v>
      </c>
      <c r="AE75" s="755">
        <v>0</v>
      </c>
      <c r="AF75" s="755">
        <v>0</v>
      </c>
      <c r="AG75" s="755">
        <v>0</v>
      </c>
      <c r="AH75" s="755">
        <v>0</v>
      </c>
      <c r="AI75" s="755">
        <v>0</v>
      </c>
      <c r="AJ75" s="755">
        <v>2450.92</v>
      </c>
      <c r="AK75" s="755">
        <v>2.72</v>
      </c>
      <c r="AL75" s="755">
        <v>0</v>
      </c>
      <c r="AM75" s="755">
        <v>0</v>
      </c>
      <c r="AN75" s="755">
        <v>0</v>
      </c>
      <c r="AO75" s="755">
        <v>0</v>
      </c>
      <c r="AP75" s="755">
        <v>0</v>
      </c>
      <c r="AQ75" s="755">
        <v>31.41</v>
      </c>
      <c r="AR75" s="755">
        <v>7.98</v>
      </c>
      <c r="AS75" s="755">
        <v>4.52</v>
      </c>
      <c r="AT75" s="755">
        <v>81.65</v>
      </c>
      <c r="AU75" s="755">
        <v>1.71</v>
      </c>
      <c r="AV75" s="546" t="s">
        <v>693</v>
      </c>
      <c r="AW75" s="738"/>
      <c r="AX75" s="1646"/>
      <c r="AY75" s="1646"/>
      <c r="AZ75" s="1370"/>
      <c r="BA75" s="1370"/>
      <c r="BB75" s="1370"/>
      <c r="BC75" s="1370"/>
      <c r="BD75" s="1646"/>
      <c r="BE75" s="1370"/>
      <c r="BF75" s="1370"/>
      <c r="BG75" s="740"/>
      <c r="BH75" s="1370"/>
      <c r="BI75" s="1370"/>
      <c r="BJ75" s="1370"/>
      <c r="BK75" s="1370"/>
      <c r="BL75" s="1370"/>
      <c r="BM75" s="1636"/>
      <c r="BN75" s="1636"/>
      <c r="BO75" s="1636"/>
      <c r="BP75" s="1636"/>
      <c r="BQ75" s="1636"/>
      <c r="BR75" s="1370">
        <v>0</v>
      </c>
    </row>
    <row s="1636" customFormat="1" customHeight="1" ht="33.333333333333336">
      <c r="A76" s="991"/>
      <c r="B76" s="1370"/>
      <c r="C76" s="1646"/>
      <c r="D76" s="687" t="s">
        <v>103</v>
      </c>
      <c r="E76" s="2383" t="str">
        <f>E69&amp;".6"</f>
        <v>2.12.6</v>
      </c>
      <c r="F76" s="544" t="s">
        <v>720</v>
      </c>
      <c r="G76" s="2383" t="s">
        <v>690</v>
      </c>
      <c r="H76" s="755"/>
      <c r="I76" s="755">
        <v>0</v>
      </c>
      <c r="J76" s="755">
        <v>0</v>
      </c>
      <c r="K76" s="755">
        <v>45.98</v>
      </c>
      <c r="L76" s="755">
        <v>0</v>
      </c>
      <c r="M76" s="755">
        <v>10.13</v>
      </c>
      <c r="N76" s="755">
        <v>8.61</v>
      </c>
      <c r="O76" s="755">
        <v>2.68</v>
      </c>
      <c r="P76" s="755">
        <v>534.06</v>
      </c>
      <c r="Q76" s="755">
        <v>6.3</v>
      </c>
      <c r="R76" s="755">
        <v>171.04</v>
      </c>
      <c r="S76" s="755">
        <v>0</v>
      </c>
      <c r="T76" s="755">
        <v>6.28</v>
      </c>
      <c r="U76" s="755">
        <v>19.36</v>
      </c>
      <c r="V76" s="755">
        <v>6326.41</v>
      </c>
      <c r="W76" s="755">
        <v>98.5</v>
      </c>
      <c r="X76" s="755">
        <v>828.41</v>
      </c>
      <c r="Y76" s="755">
        <v>201.87</v>
      </c>
      <c r="Z76" s="755">
        <v>28.33</v>
      </c>
      <c r="AA76" s="755">
        <v>348.73</v>
      </c>
      <c r="AB76" s="755">
        <v>0</v>
      </c>
      <c r="AC76" s="755">
        <v>282.13</v>
      </c>
      <c r="AD76" s="755">
        <v>0</v>
      </c>
      <c r="AE76" s="755">
        <v>0</v>
      </c>
      <c r="AF76" s="755">
        <v>2.87</v>
      </c>
      <c r="AG76" s="755">
        <v>4.74</v>
      </c>
      <c r="AH76" s="755">
        <v>5.5</v>
      </c>
      <c r="AI76" s="755">
        <v>25.06</v>
      </c>
      <c r="AJ76" s="755">
        <v>34.28</v>
      </c>
      <c r="AK76" s="755">
        <v>7.1</v>
      </c>
      <c r="AL76" s="755">
        <v>0</v>
      </c>
      <c r="AM76" s="755">
        <v>0</v>
      </c>
      <c r="AN76" s="755">
        <v>0</v>
      </c>
      <c r="AO76" s="755">
        <v>0</v>
      </c>
      <c r="AP76" s="755">
        <v>0</v>
      </c>
      <c r="AQ76" s="755">
        <v>0</v>
      </c>
      <c r="AR76" s="755">
        <v>6.85</v>
      </c>
      <c r="AS76" s="755">
        <v>0.01</v>
      </c>
      <c r="AT76" s="755">
        <v>0</v>
      </c>
      <c r="AU76" s="755">
        <v>0</v>
      </c>
      <c r="AV76" s="546" t="s">
        <v>693</v>
      </c>
      <c r="AW76" s="738"/>
      <c r="AX76" s="1646"/>
      <c r="AY76" s="1646"/>
      <c r="AZ76" s="1370"/>
      <c r="BA76" s="1370"/>
      <c r="BB76" s="1370"/>
      <c r="BC76" s="1370"/>
      <c r="BD76" s="1646"/>
      <c r="BE76" s="1370"/>
      <c r="BF76" s="1370"/>
      <c r="BG76" s="740"/>
      <c r="BH76" s="1370"/>
      <c r="BI76" s="1370"/>
      <c r="BJ76" s="1370"/>
      <c r="BK76" s="1370"/>
      <c r="BL76" s="1370"/>
      <c r="BM76" s="1636"/>
      <c r="BN76" s="1636"/>
      <c r="BO76" s="1636"/>
      <c r="BP76" s="1636"/>
      <c r="BQ76" s="1636"/>
      <c r="BR76" s="1370">
        <v>0</v>
      </c>
    </row>
    <row s="1370" customFormat="1" customHeight="1" ht="33.333333333333336">
      <c r="A77" s="991"/>
      <c r="C77" s="1640"/>
      <c r="D77" s="1637"/>
      <c r="E77" s="574"/>
      <c r="F77" s="575" t="s">
        <v>721</v>
      </c>
      <c r="G77" s="576"/>
      <c r="H77" s="577"/>
      <c r="I77" s="577"/>
      <c r="J77" s="2693"/>
      <c r="K77" s="2694"/>
      <c r="L77" s="2695"/>
      <c r="M77" s="2696"/>
      <c r="N77" s="2697"/>
      <c r="O77" s="2698"/>
      <c r="P77" s="2699"/>
      <c r="Q77" s="2700"/>
      <c r="R77" s="2701"/>
      <c r="S77" s="2702"/>
      <c r="T77" s="2703"/>
      <c r="U77" s="2704"/>
      <c r="V77" s="2705"/>
      <c r="W77" s="2706"/>
      <c r="X77" s="2707"/>
      <c r="Y77" s="2708"/>
      <c r="Z77" s="2709"/>
      <c r="AA77" s="2710"/>
      <c r="AB77" s="2711"/>
      <c r="AC77" s="2712"/>
      <c r="AD77" s="2713"/>
      <c r="AE77" s="2714"/>
      <c r="AF77" s="2715"/>
      <c r="AG77" s="2716"/>
      <c r="AH77" s="2717"/>
      <c r="AI77" s="2718"/>
      <c r="AJ77" s="2719"/>
      <c r="AK77" s="2720"/>
      <c r="AL77" s="2721"/>
      <c r="AM77" s="2722"/>
      <c r="AN77" s="2724"/>
      <c r="AO77" s="2725"/>
      <c r="AP77" s="2727"/>
      <c r="AQ77" s="2729"/>
      <c r="AR77" s="2730"/>
      <c r="AS77" s="2731"/>
      <c r="AT77" s="2732"/>
      <c r="AU77" s="2733"/>
      <c r="AV77" s="305"/>
      <c r="AW77" s="1640"/>
      <c r="AX77" s="1640"/>
      <c r="AY77" s="1640"/>
      <c r="BD77" s="1640"/>
      <c r="BG77" s="548"/>
      <c r="BM77" s="1636"/>
      <c r="BN77" s="1636"/>
      <c r="BO77" s="1636"/>
      <c r="BP77" s="1636"/>
      <c r="BQ77" s="1636"/>
      <c r="BR77" s="1164">
        <v>14</v>
      </c>
    </row>
    <row s="1370" customFormat="1" customHeight="1" ht="33.333333333333336" hidden="1">
      <c r="A78" s="993" t="s">
        <v>722</v>
      </c>
      <c r="C78" s="1640"/>
      <c r="D78" s="1642"/>
      <c r="E78" s="550" t="str">
        <f>FHD_NUM_P_34</f>
        <v/>
      </c>
      <c r="F78" s="1881" t="str">
        <f>FHD_P_34</f>
        <v/>
      </c>
      <c r="G78" s="1879" t="s">
        <v>690</v>
      </c>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293" t="str">
        <f>FHD_NOTE_P_34</f>
        <v/>
      </c>
      <c r="AW78" s="547"/>
      <c r="AX78" s="1640"/>
      <c r="AY78" s="1640"/>
      <c r="BD78" s="1640"/>
      <c r="BG78" s="548"/>
      <c r="BM78" s="1636"/>
      <c r="BN78" s="1636"/>
      <c r="BO78" s="1636"/>
      <c r="BP78" s="1636"/>
      <c r="BQ78" s="1636"/>
      <c r="BR78" s="1164">
        <v>0</v>
      </c>
    </row>
    <row s="1370" customFormat="1" customHeight="1" ht="33.333333333333336">
      <c r="A79" s="991"/>
      <c r="C79" s="1640"/>
      <c r="D79" s="579"/>
      <c r="E79" s="550" t="str">
        <f>FHD_NUM_P_35</f>
        <v>3</v>
      </c>
      <c r="F79" s="1881" t="str">
        <f>FHD_P_35</f>
        <v>Чистая прибыль, полученная от регулируемого вида деятельности в сфере холодного водоснабжения, в том числе:</v>
      </c>
      <c r="G79" s="1879" t="s">
        <v>690</v>
      </c>
      <c r="H79" s="561"/>
      <c r="I79" s="561">
        <v>0</v>
      </c>
      <c r="J79" s="561">
        <v>245.27</v>
      </c>
      <c r="K79" s="561">
        <v>0</v>
      </c>
      <c r="L79" s="561">
        <v>0</v>
      </c>
      <c r="M79" s="561">
        <v>0</v>
      </c>
      <c r="N79" s="561">
        <v>0</v>
      </c>
      <c r="O79" s="561">
        <v>0</v>
      </c>
      <c r="P79" s="561">
        <v>0</v>
      </c>
      <c r="Q79" s="561">
        <v>0</v>
      </c>
      <c r="R79" s="561">
        <v>0</v>
      </c>
      <c r="S79" s="561">
        <v>0</v>
      </c>
      <c r="T79" s="561">
        <v>0</v>
      </c>
      <c r="U79" s="561">
        <v>0</v>
      </c>
      <c r="V79" s="561">
        <v>0</v>
      </c>
      <c r="W79" s="561">
        <v>0</v>
      </c>
      <c r="X79" s="561">
        <v>0</v>
      </c>
      <c r="Y79" s="561">
        <v>0</v>
      </c>
      <c r="Z79" s="561">
        <v>0</v>
      </c>
      <c r="AA79" s="561">
        <v>0</v>
      </c>
      <c r="AB79" s="561">
        <v>0</v>
      </c>
      <c r="AC79" s="561">
        <v>0</v>
      </c>
      <c r="AD79" s="561">
        <v>0</v>
      </c>
      <c r="AE79" s="561">
        <v>0</v>
      </c>
      <c r="AF79" s="561">
        <v>0</v>
      </c>
      <c r="AG79" s="561">
        <v>0</v>
      </c>
      <c r="AH79" s="561">
        <v>0</v>
      </c>
      <c r="AI79" s="561">
        <v>0</v>
      </c>
      <c r="AJ79" s="561">
        <v>0</v>
      </c>
      <c r="AK79" s="561">
        <v>0</v>
      </c>
      <c r="AL79" s="561">
        <v>1433.29</v>
      </c>
      <c r="AM79" s="561">
        <v>374.33</v>
      </c>
      <c r="AN79" s="561">
        <v>37.52</v>
      </c>
      <c r="AO79" s="561">
        <v>0</v>
      </c>
      <c r="AP79" s="561">
        <v>9.28</v>
      </c>
      <c r="AQ79" s="561">
        <v>0</v>
      </c>
      <c r="AR79" s="561">
        <v>0</v>
      </c>
      <c r="AS79" s="561">
        <v>0</v>
      </c>
      <c r="AT79" s="561">
        <v>0</v>
      </c>
      <c r="AU79" s="561">
        <v>0</v>
      </c>
      <c r="AV79" s="293" t="str">
        <f>FHD_NOTE_P_35</f>
        <v>Указывается общая сумма чистой прибыли, полученной от регулируемого вида деятельности.</v>
      </c>
      <c r="AW79" s="547"/>
      <c r="AX79" s="1640"/>
      <c r="AY79" s="1640"/>
      <c r="BD79" s="1640"/>
      <c r="BG79" s="548"/>
      <c r="BM79" s="1636"/>
      <c r="BN79" s="1636"/>
      <c r="BO79" s="1636"/>
      <c r="BP79" s="1636"/>
      <c r="BQ79" s="1636"/>
      <c r="BR79" s="1164">
        <v>19</v>
      </c>
    </row>
    <row s="1370" customFormat="1" customHeight="1" ht="33.333333333333336">
      <c r="A80" s="991"/>
      <c r="C80" s="1640"/>
      <c r="D80" s="1642"/>
      <c r="E80" s="550" t="str">
        <f>FHD_NUM_P_36</f>
        <v>3.1</v>
      </c>
      <c r="F80"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79" t="s">
        <v>690</v>
      </c>
      <c r="H80" s="561"/>
      <c r="I80" s="561">
        <v>0</v>
      </c>
      <c r="J80" s="561">
        <v>0</v>
      </c>
      <c r="K80" s="561">
        <v>0</v>
      </c>
      <c r="L80" s="561">
        <v>0</v>
      </c>
      <c r="M80" s="561">
        <v>0</v>
      </c>
      <c r="N80" s="561">
        <v>0</v>
      </c>
      <c r="O80" s="561">
        <v>0</v>
      </c>
      <c r="P80" s="561">
        <v>0</v>
      </c>
      <c r="Q80" s="561">
        <v>0</v>
      </c>
      <c r="R80" s="561">
        <v>0</v>
      </c>
      <c r="S80" s="561">
        <v>0</v>
      </c>
      <c r="T80" s="561">
        <v>0</v>
      </c>
      <c r="U80" s="561">
        <v>0</v>
      </c>
      <c r="V80" s="561">
        <v>0</v>
      </c>
      <c r="W80" s="561">
        <v>0</v>
      </c>
      <c r="X80" s="561">
        <v>0</v>
      </c>
      <c r="Y80" s="561">
        <v>0</v>
      </c>
      <c r="Z80" s="561">
        <v>0</v>
      </c>
      <c r="AA80" s="561">
        <v>0</v>
      </c>
      <c r="AB80" s="561">
        <v>0</v>
      </c>
      <c r="AC80" s="561">
        <v>0</v>
      </c>
      <c r="AD80" s="561">
        <v>0</v>
      </c>
      <c r="AE80" s="561">
        <v>0</v>
      </c>
      <c r="AF80" s="561">
        <v>0</v>
      </c>
      <c r="AG80" s="561">
        <v>0</v>
      </c>
      <c r="AH80" s="561">
        <v>0</v>
      </c>
      <c r="AI80" s="561">
        <v>0</v>
      </c>
      <c r="AJ80" s="561">
        <v>0</v>
      </c>
      <c r="AK80" s="561">
        <v>0</v>
      </c>
      <c r="AL80" s="561">
        <v>0</v>
      </c>
      <c r="AM80" s="561">
        <v>0</v>
      </c>
      <c r="AN80" s="561">
        <v>0</v>
      </c>
      <c r="AO80" s="561">
        <v>0</v>
      </c>
      <c r="AP80" s="561">
        <v>0</v>
      </c>
      <c r="AQ80" s="561">
        <v>0</v>
      </c>
      <c r="AR80" s="561">
        <v>0</v>
      </c>
      <c r="AS80" s="561">
        <v>0</v>
      </c>
      <c r="AT80" s="561">
        <v>0</v>
      </c>
      <c r="AU80" s="561">
        <v>0</v>
      </c>
      <c r="AV80" s="293" t="str">
        <f>FHD_NOTE_P_36</f>
        <v/>
      </c>
      <c r="AW80" s="547"/>
      <c r="AX80" s="1640"/>
      <c r="AY80" s="1640"/>
      <c r="BD80" s="1640"/>
      <c r="BG80" s="548"/>
      <c r="BM80" s="1636"/>
      <c r="BN80" s="1636"/>
      <c r="BO80" s="1636"/>
      <c r="BP80" s="1636"/>
      <c r="BQ80" s="1636"/>
      <c r="BR80" s="1164">
        <v>19</v>
      </c>
    </row>
    <row s="1370" customFormat="1" customHeight="1" ht="33.333333333333336">
      <c r="A81" s="991"/>
      <c r="C81" s="1640"/>
      <c r="D81" s="1642"/>
      <c r="E81" s="550" t="str">
        <f>FHD_NUM_P_37</f>
        <v>4</v>
      </c>
      <c r="F81" s="1881" t="str">
        <f>FHD_P_37</f>
        <v>Изменение стоимости основных фондов, в том числе:</v>
      </c>
      <c r="G81" s="1879" t="s">
        <v>690</v>
      </c>
      <c r="H81" s="561"/>
      <c r="I81" s="561">
        <f>I82</f>
        <v>0</v>
      </c>
      <c r="J81" s="561">
        <f>J82</f>
        <v>0</v>
      </c>
      <c r="K81" s="561">
        <f>K82</f>
        <v>0</v>
      </c>
      <c r="L81" s="561">
        <f>L82</f>
        <v>0</v>
      </c>
      <c r="M81" s="561">
        <f>M82</f>
        <v>0</v>
      </c>
      <c r="N81" s="561">
        <f>N82</f>
        <v>0</v>
      </c>
      <c r="O81" s="561">
        <f>O82</f>
        <v>0</v>
      </c>
      <c r="P81" s="561">
        <f>P82</f>
        <v>0</v>
      </c>
      <c r="Q81" s="561">
        <f>Q82</f>
        <v>0</v>
      </c>
      <c r="R81" s="561">
        <f>R82</f>
        <v>0</v>
      </c>
      <c r="S81" s="561">
        <f>S82</f>
        <v>0</v>
      </c>
      <c r="T81" s="561">
        <f>T82</f>
        <v>0</v>
      </c>
      <c r="U81" s="561">
        <f>U82</f>
        <v>0</v>
      </c>
      <c r="V81" s="561">
        <f>V82</f>
        <v>-596.98125</v>
      </c>
      <c r="W81" s="561">
        <f>W82</f>
        <v>0</v>
      </c>
      <c r="X81" s="561">
        <f>X82</f>
        <v>-363.96491</v>
      </c>
      <c r="Y81" s="561">
        <f>Y82</f>
        <v>-108.38041</v>
      </c>
      <c r="Z81" s="561">
        <f>Z82</f>
        <v>0</v>
      </c>
      <c r="AA81" s="561">
        <f>AA82</f>
        <v>-314.9435</v>
      </c>
      <c r="AB81" s="561">
        <f>AB82</f>
        <v>0</v>
      </c>
      <c r="AC81" s="561">
        <f>AC82</f>
        <v>0</v>
      </c>
      <c r="AD81" s="561">
        <f>AD82</f>
        <v>0</v>
      </c>
      <c r="AE81" s="561">
        <f>AE82</f>
        <v>0</v>
      </c>
      <c r="AF81" s="561">
        <f>AF82</f>
        <v>0</v>
      </c>
      <c r="AG81" s="561">
        <f>AG82</f>
        <v>0</v>
      </c>
      <c r="AH81" s="561">
        <f>AH82</f>
        <v>0</v>
      </c>
      <c r="AI81" s="561">
        <f>AI82</f>
        <v>0</v>
      </c>
      <c r="AJ81" s="561">
        <f>AJ82</f>
        <v>0</v>
      </c>
      <c r="AK81" s="561">
        <f>AK82</f>
        <v>0</v>
      </c>
      <c r="AL81" s="561">
        <f>AL82</f>
        <v>0</v>
      </c>
      <c r="AM81" s="561">
        <f>AM82</f>
        <v>0</v>
      </c>
      <c r="AN81" s="561">
        <f>AN82</f>
        <v>0</v>
      </c>
      <c r="AO81" s="561">
        <f>AO82</f>
        <v>0</v>
      </c>
      <c r="AP81" s="561">
        <f>AP82</f>
        <v>0</v>
      </c>
      <c r="AQ81" s="561">
        <f>AQ82</f>
        <v>0</v>
      </c>
      <c r="AR81" s="561">
        <f>AR82</f>
        <v>0</v>
      </c>
      <c r="AS81" s="561">
        <f>AS82</f>
        <v>0</v>
      </c>
      <c r="AT81" s="561">
        <f>AT82</f>
        <v>0</v>
      </c>
      <c r="AU81" s="561">
        <f>AU82</f>
        <v>0</v>
      </c>
      <c r="AV81" s="293" t="str">
        <f>FHD_NOTE_P_37</f>
        <v>Указывается общее изменение стоимости основных фондов.</v>
      </c>
      <c r="AW81" s="547"/>
      <c r="AX81" s="1640"/>
      <c r="AY81" s="1640"/>
      <c r="BD81" s="1640"/>
      <c r="BG81" s="548"/>
      <c r="BM81" s="1636"/>
      <c r="BN81" s="1636"/>
      <c r="BO81" s="1636"/>
      <c r="BP81" s="1636"/>
      <c r="BQ81" s="1636"/>
      <c r="BR81" s="1164">
        <v>19</v>
      </c>
    </row>
    <row s="1370" customFormat="1" customHeight="1" ht="33.333333333333336">
      <c r="A82" s="991"/>
      <c r="C82" s="1640"/>
      <c r="D82" s="1642"/>
      <c r="E82" s="550" t="str">
        <f>FHD_NUM_P_38</f>
        <v>4.1</v>
      </c>
      <c r="F82" s="1528" t="str">
        <f>FHD_P_38</f>
        <v>Изменение стоимости основных фондов за счет их ввода в эксплуатацию (вывода из эксплуатации)</v>
      </c>
      <c r="G82" s="1879" t="s">
        <v>690</v>
      </c>
      <c r="H82" s="561"/>
      <c r="I82" s="561">
        <f>I83-I84</f>
        <v>0</v>
      </c>
      <c r="J82" s="561">
        <f>J83-J84</f>
        <v>0</v>
      </c>
      <c r="K82" s="561">
        <f>K83-K84</f>
        <v>0</v>
      </c>
      <c r="L82" s="561">
        <f>L83-L84</f>
        <v>0</v>
      </c>
      <c r="M82" s="561">
        <f>M83-M84</f>
        <v>0</v>
      </c>
      <c r="N82" s="561">
        <f>N83-N84</f>
        <v>0</v>
      </c>
      <c r="O82" s="561">
        <f>O83-O84</f>
        <v>0</v>
      </c>
      <c r="P82" s="561">
        <f>P83-P84</f>
        <v>0</v>
      </c>
      <c r="Q82" s="561">
        <f>Q83-Q84</f>
        <v>0</v>
      </c>
      <c r="R82" s="561">
        <f>R83-R84</f>
        <v>0</v>
      </c>
      <c r="S82" s="561">
        <f>S83-S84</f>
        <v>0</v>
      </c>
      <c r="T82" s="561">
        <f>T83-T84</f>
        <v>0</v>
      </c>
      <c r="U82" s="561">
        <f>U83-U84</f>
        <v>0</v>
      </c>
      <c r="V82" s="561">
        <f>V83-V84</f>
        <v>-596.98125</v>
      </c>
      <c r="W82" s="561">
        <f>W83-W84</f>
        <v>0</v>
      </c>
      <c r="X82" s="561">
        <f>X83-X84</f>
        <v>-363.96491</v>
      </c>
      <c r="Y82" s="561">
        <f>Y83-Y84</f>
        <v>-108.38041</v>
      </c>
      <c r="Z82" s="561">
        <f>Z83-Z84</f>
        <v>0</v>
      </c>
      <c r="AA82" s="561">
        <f>AA83-AA84</f>
        <v>-314.9435</v>
      </c>
      <c r="AB82" s="561">
        <f>AB83-AB84</f>
        <v>0</v>
      </c>
      <c r="AC82" s="561">
        <f>AC83-AC84</f>
        <v>0</v>
      </c>
      <c r="AD82" s="561">
        <f>AD83-AD84</f>
        <v>0</v>
      </c>
      <c r="AE82" s="561">
        <f>AE83-AE84</f>
        <v>0</v>
      </c>
      <c r="AF82" s="561">
        <f>AF83-AF84</f>
        <v>0</v>
      </c>
      <c r="AG82" s="561">
        <f>AG83-AG84</f>
        <v>0</v>
      </c>
      <c r="AH82" s="561">
        <f>AH83-AH84</f>
        <v>0</v>
      </c>
      <c r="AI82" s="561">
        <f>AI83-AI84</f>
        <v>0</v>
      </c>
      <c r="AJ82" s="561">
        <f>AJ83-AJ84</f>
        <v>0</v>
      </c>
      <c r="AK82" s="561">
        <f>AK83-AK84</f>
        <v>0</v>
      </c>
      <c r="AL82" s="561">
        <f>AL83-AL84</f>
        <v>0</v>
      </c>
      <c r="AM82" s="561">
        <f>AM83-AM84</f>
        <v>0</v>
      </c>
      <c r="AN82" s="561">
        <f>AN83-AN84</f>
        <v>0</v>
      </c>
      <c r="AO82" s="561">
        <f>AO83-AO84</f>
        <v>0</v>
      </c>
      <c r="AP82" s="561">
        <f>AP83-AP84</f>
        <v>0</v>
      </c>
      <c r="AQ82" s="561">
        <f>AQ83-AQ84</f>
        <v>0</v>
      </c>
      <c r="AR82" s="561">
        <f>AR83-AR84</f>
        <v>0</v>
      </c>
      <c r="AS82" s="561">
        <f>AS83-AS84</f>
        <v>0</v>
      </c>
      <c r="AT82" s="561">
        <f>AT83-AT84</f>
        <v>0</v>
      </c>
      <c r="AU82" s="561">
        <f>AU83-AU84</f>
        <v>0</v>
      </c>
      <c r="AV82" s="293" t="str">
        <f>FHD_NOTE_P_38</f>
        <v>Указываются общее изменение стоимости основных фондов за счет их ввода в эксплуатацию и вывода из эксплуатации.</v>
      </c>
      <c r="AW82" s="547"/>
      <c r="AX82" s="1640"/>
      <c r="AY82" s="1640"/>
      <c r="BD82" s="1640"/>
      <c r="BG82" s="548"/>
      <c r="BM82" s="1636"/>
      <c r="BN82" s="1636"/>
      <c r="BO82" s="1636"/>
      <c r="BP82" s="1636"/>
      <c r="BQ82" s="1636"/>
      <c r="BR82" s="1164">
        <v>19</v>
      </c>
    </row>
    <row s="1370" customFormat="1" customHeight="1" ht="33.333333333333336">
      <c r="A83" s="991"/>
      <c r="C83" s="1640"/>
      <c r="D83" s="1642"/>
      <c r="E83" s="550" t="str">
        <f>FHD_NUM_P_39</f>
        <v>4.1.1</v>
      </c>
      <c r="F83" s="1654" t="str">
        <f>FHD_P_39</f>
        <v>Изменение стоимости основных фондов за счет их ввода в эксплуатацию</v>
      </c>
      <c r="G83" s="2073" t="s">
        <v>690</v>
      </c>
      <c r="H83" s="561"/>
      <c r="I83" s="561">
        <v>0</v>
      </c>
      <c r="J83" s="561">
        <v>0</v>
      </c>
      <c r="K83" s="561">
        <v>0</v>
      </c>
      <c r="L83" s="561">
        <v>0</v>
      </c>
      <c r="M83" s="561">
        <v>0</v>
      </c>
      <c r="N83" s="561">
        <v>0</v>
      </c>
      <c r="O83" s="561">
        <v>0</v>
      </c>
      <c r="P83" s="561">
        <v>0</v>
      </c>
      <c r="Q83" s="561">
        <v>0</v>
      </c>
      <c r="R83" s="561">
        <v>0</v>
      </c>
      <c r="S83" s="561">
        <v>0</v>
      </c>
      <c r="T83" s="561">
        <v>0</v>
      </c>
      <c r="U83" s="561">
        <v>0</v>
      </c>
      <c r="V83" s="561">
        <f>V84-V85</f>
        <v>914.79485</v>
      </c>
      <c r="W83" s="561">
        <f>W84-W85</f>
        <v>7537.55148</v>
      </c>
      <c r="X83" s="561">
        <f>X84-X85</f>
        <v>2932.7579</v>
      </c>
      <c r="Y83" s="561">
        <f>Y84-Y85</f>
        <v>2945.8477</v>
      </c>
      <c r="Z83" s="561">
        <v>0</v>
      </c>
      <c r="AA83" s="561">
        <f>AA84-AA85</f>
        <v>1173.81644</v>
      </c>
      <c r="AB83" s="561">
        <v>0</v>
      </c>
      <c r="AC83" s="561">
        <f>AC84-AC85</f>
        <v>501.15305</v>
      </c>
      <c r="AD83" s="561">
        <v>0</v>
      </c>
      <c r="AE83" s="561">
        <v>0</v>
      </c>
      <c r="AF83" s="561">
        <v>0</v>
      </c>
      <c r="AG83" s="561">
        <v>0</v>
      </c>
      <c r="AH83" s="561">
        <v>0</v>
      </c>
      <c r="AI83" s="561">
        <f>AI84-AI85</f>
        <v>1005.50474</v>
      </c>
      <c r="AJ83" s="561">
        <v>0</v>
      </c>
      <c r="AK83" s="561">
        <v>0</v>
      </c>
      <c r="AL83" s="561">
        <v>0</v>
      </c>
      <c r="AM83" s="561">
        <v>0</v>
      </c>
      <c r="AN83" s="561">
        <v>0</v>
      </c>
      <c r="AO83" s="561">
        <v>0</v>
      </c>
      <c r="AP83" s="561">
        <v>0</v>
      </c>
      <c r="AQ83" s="561">
        <v>0</v>
      </c>
      <c r="AR83" s="561">
        <v>0</v>
      </c>
      <c r="AS83" s="561">
        <v>0</v>
      </c>
      <c r="AT83" s="561">
        <v>0</v>
      </c>
      <c r="AU83" s="561">
        <v>0</v>
      </c>
      <c r="AV83" s="293" t="str">
        <f>FHD_NOTE_P_39</f>
        <v>Указываются изменение стоимости основных фондов за счет их ввода в эксплуатацию.</v>
      </c>
      <c r="AW83" s="547"/>
      <c r="AX83" s="1640"/>
      <c r="AY83" s="1640"/>
      <c r="BD83" s="1640"/>
      <c r="BG83" s="548"/>
      <c r="BM83" s="1636"/>
      <c r="BN83" s="1636"/>
      <c r="BO83" s="1636"/>
      <c r="BP83" s="1636"/>
      <c r="BQ83" s="1636"/>
      <c r="BR83" s="1164">
        <v>19</v>
      </c>
    </row>
    <row s="1370" customFormat="1" customHeight="1" ht="33.333333333333336">
      <c r="A84" s="991"/>
      <c r="C84" s="1640"/>
      <c r="D84" s="1642"/>
      <c r="E84" s="550" t="str">
        <f>FHD_NUM_P_40</f>
        <v>4.1.2</v>
      </c>
      <c r="F84" s="2077" t="str">
        <f>FHD_P_40</f>
        <v>Изменение стоимости основных фондов за счет их вывода в эксплуатацию</v>
      </c>
      <c r="G84" s="2072" t="s">
        <v>690</v>
      </c>
      <c r="H84" s="980"/>
      <c r="I84" s="561">
        <v>0</v>
      </c>
      <c r="J84" s="980">
        <v>0</v>
      </c>
      <c r="K84" s="980">
        <v>0</v>
      </c>
      <c r="L84" s="980">
        <v>0</v>
      </c>
      <c r="M84" s="980">
        <v>0</v>
      </c>
      <c r="N84" s="980">
        <v>0</v>
      </c>
      <c r="O84" s="980">
        <v>0</v>
      </c>
      <c r="P84" s="980">
        <v>0</v>
      </c>
      <c r="Q84" s="980">
        <v>0</v>
      </c>
      <c r="R84" s="980">
        <v>0</v>
      </c>
      <c r="S84" s="980">
        <v>0</v>
      </c>
      <c r="T84" s="980">
        <v>0</v>
      </c>
      <c r="U84" s="980">
        <v>0</v>
      </c>
      <c r="V84" s="980">
        <f>1511776.1/1000</f>
        <v>1511.7761</v>
      </c>
      <c r="W84" s="980">
        <f>7537551.48/1000</f>
        <v>7537.55148</v>
      </c>
      <c r="X84" s="980">
        <f>3296722.81/1000</f>
        <v>3296.72281</v>
      </c>
      <c r="Y84" s="980">
        <f>(981016.39+302835.05+1770376.67)/1000</f>
        <v>3054.22811</v>
      </c>
      <c r="Z84" s="980">
        <v>0</v>
      </c>
      <c r="AA84" s="980">
        <f>1488759.94/1000</f>
        <v>1488.75994</v>
      </c>
      <c r="AB84" s="980">
        <v>0</v>
      </c>
      <c r="AC84" s="980">
        <f>501153.05/1000</f>
        <v>501.15305</v>
      </c>
      <c r="AD84" s="980">
        <v>0</v>
      </c>
      <c r="AE84" s="980">
        <v>0</v>
      </c>
      <c r="AF84" s="980">
        <v>0</v>
      </c>
      <c r="AG84" s="980">
        <v>0</v>
      </c>
      <c r="AH84" s="980">
        <v>0</v>
      </c>
      <c r="AI84" s="980">
        <f>1005504.74/1000</f>
        <v>1005.50474</v>
      </c>
      <c r="AJ84" s="980">
        <v>0</v>
      </c>
      <c r="AK84" s="980">
        <v>0</v>
      </c>
      <c r="AL84" s="980">
        <v>0</v>
      </c>
      <c r="AM84" s="980">
        <v>0</v>
      </c>
      <c r="AN84" s="980">
        <v>0</v>
      </c>
      <c r="AO84" s="980">
        <v>0</v>
      </c>
      <c r="AP84" s="980">
        <v>0</v>
      </c>
      <c r="AQ84" s="980">
        <v>0</v>
      </c>
      <c r="AR84" s="980">
        <v>0</v>
      </c>
      <c r="AS84" s="980">
        <v>0</v>
      </c>
      <c r="AT84" s="980">
        <v>0</v>
      </c>
      <c r="AU84" s="980">
        <v>0</v>
      </c>
      <c r="AV84" s="293" t="str">
        <f>FHD_NOTE_P_40</f>
        <v>Указываются изменение стоимости основных фондов за счет их вывода из эксплуатации.</v>
      </c>
      <c r="AW84" s="547"/>
      <c r="AX84" s="1640"/>
      <c r="AY84" s="1640"/>
      <c r="BD84" s="1640"/>
      <c r="BG84" s="548"/>
      <c r="BM84" s="1636"/>
      <c r="BN84" s="1636"/>
      <c r="BO84" s="1636"/>
      <c r="BP84" s="1636"/>
      <c r="BQ84" s="1636"/>
      <c r="BR84" s="1164">
        <v>19</v>
      </c>
    </row>
    <row s="1370" customFormat="1" customHeight="1" ht="33.333333333333336">
      <c r="A85" s="991"/>
      <c r="C85" s="1640"/>
      <c r="D85" s="1642"/>
      <c r="E85" s="550" t="str">
        <f>FHD_NUM_P_41</f>
        <v>4.2</v>
      </c>
      <c r="F85" s="2076" t="str">
        <f>FHD_P_41</f>
        <v>Изменение стоимости основных фондов за счет их переоценки</v>
      </c>
      <c r="G85" s="2072" t="s">
        <v>690</v>
      </c>
      <c r="H85" s="980"/>
      <c r="I85" s="561">
        <v>0</v>
      </c>
      <c r="J85" s="980">
        <v>0</v>
      </c>
      <c r="K85" s="980">
        <v>0</v>
      </c>
      <c r="L85" s="980">
        <v>0</v>
      </c>
      <c r="M85" s="980">
        <v>0</v>
      </c>
      <c r="N85" s="980">
        <v>0</v>
      </c>
      <c r="O85" s="980">
        <v>0</v>
      </c>
      <c r="P85" s="980">
        <v>0</v>
      </c>
      <c r="Q85" s="980">
        <v>0</v>
      </c>
      <c r="R85" s="980">
        <v>0</v>
      </c>
      <c r="S85" s="980">
        <v>0</v>
      </c>
      <c r="T85" s="980">
        <v>0</v>
      </c>
      <c r="U85" s="980">
        <v>0</v>
      </c>
      <c r="V85" s="980">
        <f>596981.25/1000</f>
        <v>596.98125</v>
      </c>
      <c r="W85" s="980">
        <v>0</v>
      </c>
      <c r="X85" s="980">
        <f>363964.91/1000</f>
        <v>363.96491</v>
      </c>
      <c r="Y85" s="980">
        <f>108380.41/1000</f>
        <v>108.38041</v>
      </c>
      <c r="Z85" s="980">
        <v>0</v>
      </c>
      <c r="AA85" s="980">
        <f>314943.5/1000</f>
        <v>314.9435</v>
      </c>
      <c r="AB85" s="980">
        <v>0</v>
      </c>
      <c r="AC85" s="980">
        <v>0</v>
      </c>
      <c r="AD85" s="980">
        <v>0</v>
      </c>
      <c r="AE85" s="980">
        <v>0</v>
      </c>
      <c r="AF85" s="980">
        <v>0</v>
      </c>
      <c r="AG85" s="980">
        <v>0</v>
      </c>
      <c r="AH85" s="980">
        <v>0</v>
      </c>
      <c r="AI85" s="980">
        <v>0</v>
      </c>
      <c r="AJ85" s="980">
        <v>0</v>
      </c>
      <c r="AK85" s="980">
        <v>0</v>
      </c>
      <c r="AL85" s="980">
        <v>0</v>
      </c>
      <c r="AM85" s="980">
        <v>0</v>
      </c>
      <c r="AN85" s="980">
        <v>0</v>
      </c>
      <c r="AO85" s="980">
        <v>0</v>
      </c>
      <c r="AP85" s="980">
        <v>0</v>
      </c>
      <c r="AQ85" s="980">
        <v>0</v>
      </c>
      <c r="AR85" s="980">
        <v>0</v>
      </c>
      <c r="AS85" s="980">
        <v>0</v>
      </c>
      <c r="AT85" s="980">
        <v>0</v>
      </c>
      <c r="AU85" s="980">
        <v>0</v>
      </c>
      <c r="AV85" s="293" t="str">
        <f>FHD_NOTE_P_41</f>
        <v/>
      </c>
      <c r="AW85" s="547"/>
      <c r="AX85" s="1640"/>
      <c r="AY85" s="1640"/>
      <c r="BD85" s="1640"/>
      <c r="BG85" s="548"/>
      <c r="BM85" s="1636"/>
      <c r="BN85" s="1636"/>
      <c r="BO85" s="1636"/>
      <c r="BP85" s="1636"/>
      <c r="BQ85" s="1636"/>
      <c r="BR85" s="1164">
        <v>19</v>
      </c>
    </row>
    <row s="1370" customFormat="1" customHeight="1" ht="33.333333333333336">
      <c r="A86" s="993" t="s">
        <v>723</v>
      </c>
      <c r="C86" s="1640" t="s">
        <v>22</v>
      </c>
      <c r="D86" s="1642"/>
      <c r="E86" s="550" t="str">
        <f>FHD_NUM_P_42</f>
        <v>5</v>
      </c>
      <c r="F86" s="2074" t="str">
        <f>FHD_P_42</f>
        <v>Валовая прибыль (убытки) от продажи товаров и услуг по регулируемым видам деятельности в сфере холодного водоснабжения</v>
      </c>
      <c r="G86" s="2072" t="s">
        <v>690</v>
      </c>
      <c r="H86" s="980"/>
      <c r="I86" s="561">
        <v>-2687.67</v>
      </c>
      <c r="J86" s="980">
        <v>208.74</v>
      </c>
      <c r="K86" s="980">
        <v>-11436.92</v>
      </c>
      <c r="L86" s="980">
        <v>-1631.71</v>
      </c>
      <c r="M86" s="980">
        <v>-4194.63</v>
      </c>
      <c r="N86" s="980">
        <v>-2895.16</v>
      </c>
      <c r="O86" s="980">
        <v>-3382.83</v>
      </c>
      <c r="P86" s="980">
        <v>-5747.95</v>
      </c>
      <c r="Q86" s="980">
        <v>-3881.27</v>
      </c>
      <c r="R86" s="980">
        <v>-5546.4</v>
      </c>
      <c r="S86" s="980">
        <v>-5245.62</v>
      </c>
      <c r="T86" s="980">
        <v>-1161.34</v>
      </c>
      <c r="U86" s="980">
        <v>-3212.15</v>
      </c>
      <c r="V86" s="980">
        <v>-110959.28</v>
      </c>
      <c r="W86" s="980">
        <v>-13817.68</v>
      </c>
      <c r="X86" s="980">
        <v>-68637.89</v>
      </c>
      <c r="Y86" s="980">
        <v>-2445.73</v>
      </c>
      <c r="Z86" s="980">
        <v>-3021.74</v>
      </c>
      <c r="AA86" s="980">
        <v>-46224.37</v>
      </c>
      <c r="AB86" s="980">
        <v>-792.32</v>
      </c>
      <c r="AC86" s="980">
        <v>-20333.17</v>
      </c>
      <c r="AD86" s="980">
        <v>-810.31</v>
      </c>
      <c r="AE86" s="980">
        <v>159.54</v>
      </c>
      <c r="AF86" s="980">
        <v>-1741.64</v>
      </c>
      <c r="AG86" s="980">
        <v>-3478.87</v>
      </c>
      <c r="AH86" s="980">
        <v>-1658.74</v>
      </c>
      <c r="AI86" s="980">
        <v>-215.52</v>
      </c>
      <c r="AJ86" s="980">
        <v>-7228.95</v>
      </c>
      <c r="AK86" s="980">
        <v>-3565.69</v>
      </c>
      <c r="AL86" s="980">
        <v>1219.82</v>
      </c>
      <c r="AM86" s="980">
        <v>318.58</v>
      </c>
      <c r="AN86" s="980">
        <v>31.93</v>
      </c>
      <c r="AO86" s="980">
        <v>0</v>
      </c>
      <c r="AP86" s="980">
        <v>7.9</v>
      </c>
      <c r="AQ86" s="980">
        <v>-950.12</v>
      </c>
      <c r="AR86" s="980">
        <v>-489.78</v>
      </c>
      <c r="AS86" s="980">
        <v>-261.41</v>
      </c>
      <c r="AT86" s="980">
        <v>-317.39</v>
      </c>
      <c r="AU86" s="980">
        <v>-88.81</v>
      </c>
      <c r="AV86" s="293" t="str">
        <f>FHD_NOTE_P_42</f>
        <v/>
      </c>
      <c r="AW86" s="547"/>
      <c r="AX86" s="1640"/>
      <c r="AY86" s="1640"/>
      <c r="BD86" s="1640"/>
      <c r="BG86" s="548"/>
      <c r="BM86" s="1636"/>
      <c r="BN86" s="1636"/>
      <c r="BO86" s="1636"/>
      <c r="BP86" s="1636"/>
      <c r="BQ86" s="1636"/>
      <c r="BR86" s="1164">
        <v>19</v>
      </c>
    </row>
    <row s="1370" customFormat="1" customHeight="1" ht="33.333333333333336">
      <c r="A87" s="991"/>
      <c r="C87" s="1640" t="s">
        <v>724</v>
      </c>
      <c r="D87" s="1642"/>
      <c r="E87" s="550" t="str">
        <f>FHD_NUM_P_43</f>
        <v>6</v>
      </c>
      <c r="F87" s="1881" t="str">
        <f>FHD_P_43</f>
        <v>Годовая бухгалтерская (финансовая) отчетность, включая бухгалтерский баланс и приложения к нему</v>
      </c>
      <c r="G87" s="2075" t="s">
        <v>444</v>
      </c>
      <c r="H87" s="1059"/>
      <c r="I87" s="822" t="s">
        <v>725</v>
      </c>
      <c r="J87" s="1059" t="s">
        <v>725</v>
      </c>
      <c r="K87" s="1059" t="s">
        <v>725</v>
      </c>
      <c r="L87" s="1059" t="s">
        <v>725</v>
      </c>
      <c r="M87" s="1059" t="s">
        <v>725</v>
      </c>
      <c r="N87" s="1059" t="s">
        <v>725</v>
      </c>
      <c r="O87" s="1059" t="s">
        <v>725</v>
      </c>
      <c r="P87" s="1059" t="s">
        <v>725</v>
      </c>
      <c r="Q87" s="1059" t="s">
        <v>725</v>
      </c>
      <c r="R87" s="1059" t="s">
        <v>725</v>
      </c>
      <c r="S87" s="1059" t="s">
        <v>725</v>
      </c>
      <c r="T87" s="1059" t="s">
        <v>725</v>
      </c>
      <c r="U87" s="1059" t="s">
        <v>725</v>
      </c>
      <c r="V87" s="1059" t="s">
        <v>725</v>
      </c>
      <c r="W87" s="1059" t="s">
        <v>725</v>
      </c>
      <c r="X87" s="1059" t="s">
        <v>725</v>
      </c>
      <c r="Y87" s="1059" t="s">
        <v>725</v>
      </c>
      <c r="Z87" s="1059" t="s">
        <v>725</v>
      </c>
      <c r="AA87" s="1059" t="s">
        <v>725</v>
      </c>
      <c r="AB87" s="1059" t="s">
        <v>725</v>
      </c>
      <c r="AC87" s="1059" t="s">
        <v>725</v>
      </c>
      <c r="AD87" s="1059" t="s">
        <v>725</v>
      </c>
      <c r="AE87" s="1059" t="s">
        <v>725</v>
      </c>
      <c r="AF87" s="1059" t="s">
        <v>725</v>
      </c>
      <c r="AG87" s="1059" t="s">
        <v>725</v>
      </c>
      <c r="AH87" s="1059" t="s">
        <v>725</v>
      </c>
      <c r="AI87" s="1059" t="s">
        <v>725</v>
      </c>
      <c r="AJ87" s="1059" t="s">
        <v>725</v>
      </c>
      <c r="AK87" s="1059" t="s">
        <v>725</v>
      </c>
      <c r="AL87" s="1059" t="s">
        <v>725</v>
      </c>
      <c r="AM87" s="1059" t="s">
        <v>725</v>
      </c>
      <c r="AN87" s="1059" t="s">
        <v>725</v>
      </c>
      <c r="AO87" s="1059" t="s">
        <v>725</v>
      </c>
      <c r="AP87" s="1059" t="s">
        <v>725</v>
      </c>
      <c r="AQ87" s="1059" t="s">
        <v>725</v>
      </c>
      <c r="AR87" s="1059" t="s">
        <v>725</v>
      </c>
      <c r="AS87" s="1059" t="s">
        <v>725</v>
      </c>
      <c r="AT87" s="1059" t="s">
        <v>725</v>
      </c>
      <c r="AU87" s="1059" t="s">
        <v>725</v>
      </c>
      <c r="AV87"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W87" s="547"/>
      <c r="AX87" s="1640"/>
      <c r="AY87" s="1640"/>
      <c r="BD87" s="1640"/>
      <c r="BG87" s="548"/>
      <c r="BM87" s="1636"/>
      <c r="BN87" s="1636"/>
      <c r="BO87" s="1636"/>
      <c r="BP87" s="1636"/>
      <c r="BQ87" s="1636"/>
      <c r="BR87" s="1164">
        <v>19</v>
      </c>
    </row>
    <row s="1370" customFormat="1" customHeight="1" ht="33.333333333333336">
      <c r="A88" s="2388" t="s">
        <v>726</v>
      </c>
      <c r="C88" s="739"/>
      <c r="D88" s="737"/>
      <c r="E88" s="550" t="str">
        <f>FHD_NUM_P_44</f>
        <v>7</v>
      </c>
      <c r="F88" s="1881" t="str">
        <f>FHD_P_44</f>
        <v>Объём поднятой воды</v>
      </c>
      <c r="G88" s="1882" t="s">
        <v>727</v>
      </c>
      <c r="H88" s="981"/>
      <c r="I88" s="581">
        <v>63.194</v>
      </c>
      <c r="J88" s="981">
        <v>0</v>
      </c>
      <c r="K88" s="981">
        <v>0</v>
      </c>
      <c r="L88" s="981">
        <v>0</v>
      </c>
      <c r="M88" s="981">
        <v>318.619</v>
      </c>
      <c r="N88" s="981">
        <v>52.322</v>
      </c>
      <c r="O88" s="981">
        <v>300.889</v>
      </c>
      <c r="P88" s="981">
        <v>195.624</v>
      </c>
      <c r="Q88" s="981">
        <v>186.66</v>
      </c>
      <c r="R88" s="981">
        <v>707.865</v>
      </c>
      <c r="S88" s="981">
        <v>50.269</v>
      </c>
      <c r="T88" s="981">
        <v>282.137</v>
      </c>
      <c r="U88" s="981">
        <v>114.57</v>
      </c>
      <c r="V88" s="981">
        <v>4906.691</v>
      </c>
      <c r="W88" s="981">
        <v>1200.225</v>
      </c>
      <c r="X88" s="981">
        <v>9170.924907</v>
      </c>
      <c r="Y88" s="981">
        <v>1355.314</v>
      </c>
      <c r="Z88" s="981">
        <v>115.143</v>
      </c>
      <c r="AA88" s="981">
        <v>5145.873</v>
      </c>
      <c r="AB88" s="981">
        <v>0.361</v>
      </c>
      <c r="AC88" s="981">
        <v>1013.391</v>
      </c>
      <c r="AD88" s="981">
        <v>33.223</v>
      </c>
      <c r="AE88" s="981">
        <v>21.909</v>
      </c>
      <c r="AF88" s="981">
        <v>11.142</v>
      </c>
      <c r="AG88" s="981">
        <v>145.662</v>
      </c>
      <c r="AH88" s="981">
        <v>11.8958</v>
      </c>
      <c r="AI88" s="981">
        <v>215.7912</v>
      </c>
      <c r="AJ88" s="981">
        <v>631.608</v>
      </c>
      <c r="AK88" s="981">
        <v>14.795</v>
      </c>
      <c r="AL88" s="981">
        <v>0</v>
      </c>
      <c r="AM88" s="981">
        <v>0</v>
      </c>
      <c r="AN88" s="981">
        <v>0</v>
      </c>
      <c r="AO88" s="981">
        <v>0</v>
      </c>
      <c r="AP88" s="981">
        <v>0</v>
      </c>
      <c r="AQ88" s="981">
        <f>AQ91</f>
        <v>0.7545</v>
      </c>
      <c r="AR88" s="981">
        <f>AR91</f>
        <v>0.1895</v>
      </c>
      <c r="AS88" s="981">
        <f>AS91</f>
        <v>0.1259</v>
      </c>
      <c r="AT88" s="981">
        <f>AT91</f>
        <v>2.0264</v>
      </c>
      <c r="AU88" s="981">
        <f>AU91</f>
        <v>0.061</v>
      </c>
      <c r="AV88" s="293" t="str">
        <f>FHD_NOTE_P_44</f>
        <v/>
      </c>
      <c r="AW88" s="738"/>
      <c r="AX88" s="739"/>
      <c r="AY88" s="739"/>
      <c r="BD88" s="739"/>
      <c r="BG88" s="740"/>
      <c r="BM88" s="741"/>
      <c r="BN88" s="741"/>
      <c r="BO88" s="741"/>
      <c r="BP88" s="741"/>
      <c r="BQ88" s="741"/>
      <c r="BR88" s="914">
        <v>0</v>
      </c>
    </row>
    <row s="1370" customFormat="1" customHeight="1" ht="33.333333333333336">
      <c r="A89" s="2388"/>
      <c r="C89" s="739"/>
      <c r="D89" s="737"/>
      <c r="E89" s="550" t="str">
        <f>FHD_NUM_P_45</f>
        <v>8</v>
      </c>
      <c r="F89" s="1881" t="str">
        <f>FHD_P_45</f>
        <v>Объём покупной воды</v>
      </c>
      <c r="G89" s="1882" t="s">
        <v>727</v>
      </c>
      <c r="H89" s="981"/>
      <c r="I89" s="581">
        <v>0</v>
      </c>
      <c r="J89" s="981">
        <v>0</v>
      </c>
      <c r="K89" s="981">
        <v>0</v>
      </c>
      <c r="L89" s="981">
        <v>0</v>
      </c>
      <c r="M89" s="981">
        <v>0</v>
      </c>
      <c r="N89" s="981">
        <v>0</v>
      </c>
      <c r="O89" s="981">
        <v>0</v>
      </c>
      <c r="P89" s="981">
        <v>0</v>
      </c>
      <c r="Q89" s="981">
        <v>0</v>
      </c>
      <c r="R89" s="981">
        <v>0</v>
      </c>
      <c r="S89" s="981">
        <v>0</v>
      </c>
      <c r="T89" s="981">
        <v>0</v>
      </c>
      <c r="U89" s="981">
        <v>0</v>
      </c>
      <c r="V89" s="981">
        <v>0</v>
      </c>
      <c r="W89" s="981">
        <v>0</v>
      </c>
      <c r="X89" s="981">
        <v>19.743</v>
      </c>
      <c r="Y89" s="981">
        <v>0</v>
      </c>
      <c r="Z89" s="981">
        <v>0</v>
      </c>
      <c r="AA89" s="981">
        <v>0</v>
      </c>
      <c r="AB89" s="981">
        <v>0</v>
      </c>
      <c r="AC89" s="981">
        <v>0</v>
      </c>
      <c r="AD89" s="981">
        <v>0</v>
      </c>
      <c r="AE89" s="981">
        <v>0</v>
      </c>
      <c r="AF89" s="981">
        <v>0</v>
      </c>
      <c r="AG89" s="981">
        <v>0</v>
      </c>
      <c r="AH89" s="981">
        <v>0</v>
      </c>
      <c r="AI89" s="981">
        <v>0</v>
      </c>
      <c r="AJ89" s="981">
        <v>0</v>
      </c>
      <c r="AK89" s="981">
        <v>0</v>
      </c>
      <c r="AL89" s="981">
        <v>0</v>
      </c>
      <c r="AM89" s="981">
        <v>0</v>
      </c>
      <c r="AN89" s="981">
        <v>0</v>
      </c>
      <c r="AO89" s="981">
        <v>0</v>
      </c>
      <c r="AP89" s="981">
        <v>0</v>
      </c>
      <c r="AQ89" s="981">
        <v>0</v>
      </c>
      <c r="AR89" s="981">
        <v>0</v>
      </c>
      <c r="AS89" s="981">
        <v>0</v>
      </c>
      <c r="AT89" s="981">
        <v>0</v>
      </c>
      <c r="AU89" s="981">
        <v>0</v>
      </c>
      <c r="AV89" s="293" t="str">
        <f>FHD_NOTE_P_45</f>
        <v/>
      </c>
      <c r="AW89" s="738"/>
      <c r="AX89" s="739"/>
      <c r="AY89" s="739"/>
      <c r="BD89" s="739"/>
      <c r="BG89" s="740"/>
      <c r="BM89" s="741"/>
      <c r="BN89" s="741"/>
      <c r="BO89" s="741"/>
      <c r="BP89" s="741"/>
      <c r="BQ89" s="741"/>
      <c r="BR89" s="914">
        <v>0</v>
      </c>
    </row>
    <row s="1370" customFormat="1" customHeight="1" ht="33.333333333333336">
      <c r="A90" s="2388"/>
      <c r="C90" s="739"/>
      <c r="D90" s="742"/>
      <c r="E90" s="550" t="str">
        <f>FHD_NUM_P_46</f>
        <v>9</v>
      </c>
      <c r="F90" s="1881" t="str">
        <f>FHD_P_46</f>
        <v>Объём воды, пропущенной через очистные сооружения</v>
      </c>
      <c r="G90" s="1882" t="s">
        <v>727</v>
      </c>
      <c r="H90" s="981"/>
      <c r="I90" s="581">
        <v>0</v>
      </c>
      <c r="J90" s="981">
        <v>0</v>
      </c>
      <c r="K90" s="981">
        <v>0</v>
      </c>
      <c r="L90" s="981">
        <v>0</v>
      </c>
      <c r="M90" s="981">
        <v>0</v>
      </c>
      <c r="N90" s="981">
        <v>0</v>
      </c>
      <c r="O90" s="981">
        <v>0</v>
      </c>
      <c r="P90" s="981">
        <v>0</v>
      </c>
      <c r="Q90" s="981">
        <v>0</v>
      </c>
      <c r="R90" s="981">
        <v>166.7965</v>
      </c>
      <c r="S90" s="981">
        <v>32.1071</v>
      </c>
      <c r="T90" s="981">
        <v>0</v>
      </c>
      <c r="U90" s="981">
        <v>0</v>
      </c>
      <c r="V90" s="981">
        <v>3750.853</v>
      </c>
      <c r="W90" s="981">
        <v>1200.225</v>
      </c>
      <c r="X90" s="981">
        <v>0</v>
      </c>
      <c r="Y90" s="981">
        <v>0</v>
      </c>
      <c r="Z90" s="981">
        <v>0</v>
      </c>
      <c r="AA90" s="981">
        <v>0</v>
      </c>
      <c r="AB90" s="981">
        <v>0</v>
      </c>
      <c r="AC90" s="981">
        <v>538.2159</v>
      </c>
      <c r="AD90" s="981">
        <v>26.0518</v>
      </c>
      <c r="AE90" s="981">
        <v>0</v>
      </c>
      <c r="AF90" s="981">
        <v>0</v>
      </c>
      <c r="AG90" s="981">
        <v>0</v>
      </c>
      <c r="AH90" s="981">
        <v>0</v>
      </c>
      <c r="AI90" s="981">
        <v>0</v>
      </c>
      <c r="AJ90" s="981">
        <v>0</v>
      </c>
      <c r="AK90" s="981">
        <v>15.189</v>
      </c>
      <c r="AL90" s="981">
        <v>0</v>
      </c>
      <c r="AM90" s="981">
        <v>0</v>
      </c>
      <c r="AN90" s="981">
        <v>0</v>
      </c>
      <c r="AO90" s="981">
        <v>0</v>
      </c>
      <c r="AP90" s="981">
        <v>0</v>
      </c>
      <c r="AQ90" s="981">
        <v>0</v>
      </c>
      <c r="AR90" s="981">
        <v>0</v>
      </c>
      <c r="AS90" s="981">
        <v>0</v>
      </c>
      <c r="AT90" s="981">
        <v>0</v>
      </c>
      <c r="AU90" s="981">
        <v>0</v>
      </c>
      <c r="AV90" s="293" t="str">
        <f>FHD_NOTE_P_46</f>
        <v/>
      </c>
      <c r="AW90" s="738"/>
      <c r="AX90" s="739"/>
      <c r="AY90" s="739"/>
      <c r="BD90" s="739"/>
      <c r="BG90" s="740"/>
      <c r="BM90" s="741"/>
      <c r="BN90" s="741"/>
      <c r="BO90" s="741"/>
      <c r="BP90" s="741"/>
      <c r="BQ90" s="741"/>
      <c r="BR90" s="914">
        <v>0</v>
      </c>
    </row>
    <row s="1370" customFormat="1" customHeight="1" ht="33.333333333333336">
      <c r="A91" s="2388"/>
      <c r="C91" s="739"/>
      <c r="D91" s="737"/>
      <c r="E91" s="550" t="str">
        <f>FHD_NUM_P_47</f>
        <v>10</v>
      </c>
      <c r="F91" s="1881" t="str">
        <f>FHD_P_47</f>
        <v>Объём отпущенной потребителям воды, в том числе:</v>
      </c>
      <c r="G91" s="1882" t="s">
        <v>727</v>
      </c>
      <c r="H91" s="981"/>
      <c r="I91" s="581">
        <v>15.6164</v>
      </c>
      <c r="J91" s="981">
        <v>0</v>
      </c>
      <c r="K91" s="981">
        <v>0</v>
      </c>
      <c r="L91" s="981">
        <v>0</v>
      </c>
      <c r="M91" s="981">
        <v>66.0028</v>
      </c>
      <c r="N91" s="981">
        <v>36.8754</v>
      </c>
      <c r="O91" s="981">
        <v>119.3676</v>
      </c>
      <c r="P91" s="981">
        <v>48.3926</v>
      </c>
      <c r="Q91" s="981">
        <v>34.8544</v>
      </c>
      <c r="R91" s="981">
        <v>166.7965</v>
      </c>
      <c r="S91" s="981">
        <v>32.1071</v>
      </c>
      <c r="T91" s="981">
        <v>66.7742</v>
      </c>
      <c r="U91" s="981">
        <v>42.0557</v>
      </c>
      <c r="V91" s="981">
        <v>1974.6591</v>
      </c>
      <c r="W91" s="981">
        <v>271.8038</v>
      </c>
      <c r="X91" s="981">
        <v>1763.91157</v>
      </c>
      <c r="Y91" s="981">
        <v>561.4321</v>
      </c>
      <c r="Z91" s="981">
        <v>64.2256</v>
      </c>
      <c r="AA91" s="981">
        <v>1797.51659</v>
      </c>
      <c r="AB91" s="981">
        <v>0.316</v>
      </c>
      <c r="AC91" s="981">
        <v>538.2159</v>
      </c>
      <c r="AD91" s="981">
        <v>26.0518</v>
      </c>
      <c r="AE91" s="981">
        <v>6.8031</v>
      </c>
      <c r="AF91" s="981">
        <v>10.3048</v>
      </c>
      <c r="AG91" s="981">
        <v>52.4309</v>
      </c>
      <c r="AH91" s="981">
        <v>7.9571</v>
      </c>
      <c r="AI91" s="981">
        <v>179.4422</v>
      </c>
      <c r="AJ91" s="981">
        <v>283.1891</v>
      </c>
      <c r="AK91" s="981">
        <v>15.189</v>
      </c>
      <c r="AL91" s="981">
        <v>0</v>
      </c>
      <c r="AM91" s="981">
        <v>0</v>
      </c>
      <c r="AN91" s="981">
        <v>0</v>
      </c>
      <c r="AO91" s="981">
        <v>0</v>
      </c>
      <c r="AP91" s="981">
        <v>0</v>
      </c>
      <c r="AQ91" s="981">
        <v>0.7545</v>
      </c>
      <c r="AR91" s="981">
        <v>0.1895</v>
      </c>
      <c r="AS91" s="981">
        <v>0.1259</v>
      </c>
      <c r="AT91" s="981">
        <v>2.0264</v>
      </c>
      <c r="AU91" s="981">
        <v>0.061</v>
      </c>
      <c r="AV91" s="293" t="str">
        <f>FHD_NOTE_P_47</f>
        <v>Указывается общий объем отпущенной потребителям воды.</v>
      </c>
      <c r="AW91" s="738"/>
      <c r="AX91" s="739"/>
      <c r="AY91" s="739"/>
      <c r="BD91" s="739"/>
      <c r="BG91" s="740"/>
      <c r="BM91" s="741"/>
      <c r="BN91" s="741"/>
      <c r="BO91" s="741"/>
      <c r="BP91" s="741"/>
      <c r="BQ91" s="741"/>
      <c r="BR91" s="914">
        <v>0</v>
      </c>
    </row>
    <row s="1639" customFormat="1" customHeight="1" ht="33.333333333333336">
      <c r="A92" s="2388"/>
      <c r="B92" s="914"/>
      <c r="C92" s="739"/>
      <c r="D92" s="737"/>
      <c r="E92" s="550" t="str">
        <f>FHD_NUM_P_48</f>
        <v>10.1</v>
      </c>
      <c r="F92" s="1881" t="str">
        <f>FHD_P_48</f>
        <v>Объём отпущенной потребителям воды, определенный по приборам учета</v>
      </c>
      <c r="G92" s="1882" t="s">
        <v>727</v>
      </c>
      <c r="H92" s="981"/>
      <c r="I92" s="581">
        <v>5.312</v>
      </c>
      <c r="J92" s="981">
        <v>0</v>
      </c>
      <c r="K92" s="981">
        <v>274.764</v>
      </c>
      <c r="L92" s="981">
        <v>0</v>
      </c>
      <c r="M92" s="981">
        <v>4.1883</v>
      </c>
      <c r="N92" s="981">
        <v>18.9479</v>
      </c>
      <c r="O92" s="981">
        <v>20.8614</v>
      </c>
      <c r="P92" s="981">
        <v>22.5301</v>
      </c>
      <c r="Q92" s="981">
        <v>16.7607</v>
      </c>
      <c r="R92" s="981">
        <v>67.7285</v>
      </c>
      <c r="S92" s="981">
        <v>11.577</v>
      </c>
      <c r="T92" s="981">
        <v>30.6384</v>
      </c>
      <c r="U92" s="981">
        <v>15.0222</v>
      </c>
      <c r="V92" s="981">
        <v>1076.6129</v>
      </c>
      <c r="W92" s="981">
        <v>195.6529</v>
      </c>
      <c r="X92" s="981">
        <v>694.4483</v>
      </c>
      <c r="Y92" s="981">
        <v>269.0269</v>
      </c>
      <c r="Z92" s="981">
        <v>32.7078</v>
      </c>
      <c r="AA92" s="981">
        <v>869.7269</v>
      </c>
      <c r="AB92" s="981">
        <v>0.316</v>
      </c>
      <c r="AC92" s="981">
        <v>378.222</v>
      </c>
      <c r="AD92" s="981">
        <v>3.2599</v>
      </c>
      <c r="AE92" s="981">
        <v>1.173</v>
      </c>
      <c r="AF92" s="981">
        <v>4.6544</v>
      </c>
      <c r="AG92" s="981">
        <v>18.1252</v>
      </c>
      <c r="AH92" s="981">
        <v>1.7749</v>
      </c>
      <c r="AI92" s="981">
        <v>106.2831</v>
      </c>
      <c r="AJ92" s="981">
        <v>150.2209</v>
      </c>
      <c r="AK92" s="981">
        <v>3.2791</v>
      </c>
      <c r="AL92" s="981">
        <v>0</v>
      </c>
      <c r="AM92" s="981">
        <v>0</v>
      </c>
      <c r="AN92" s="981">
        <v>0</v>
      </c>
      <c r="AO92" s="981">
        <v>0</v>
      </c>
      <c r="AP92" s="981">
        <v>0</v>
      </c>
      <c r="AQ92" s="981">
        <v>0</v>
      </c>
      <c r="AR92" s="981">
        <v>0</v>
      </c>
      <c r="AS92" s="981">
        <v>0</v>
      </c>
      <c r="AT92" s="981">
        <v>0</v>
      </c>
      <c r="AU92" s="981">
        <v>0</v>
      </c>
      <c r="AV92" s="293" t="str">
        <f>FHD_NOTE_P_48</f>
        <v/>
      </c>
      <c r="AW92" s="738"/>
      <c r="AX92" s="739"/>
      <c r="AY92" s="739"/>
      <c r="AZ92" s="914"/>
      <c r="BA92" s="914"/>
      <c r="BB92" s="914"/>
      <c r="BC92" s="914"/>
      <c r="BD92" s="739"/>
      <c r="BE92" s="914"/>
      <c r="BF92" s="914"/>
      <c r="BG92" s="740"/>
      <c r="BH92" s="914"/>
      <c r="BI92" s="914"/>
      <c r="BJ92" s="914"/>
      <c r="BK92" s="914"/>
      <c r="BL92" s="914"/>
      <c r="BM92" s="741"/>
      <c r="BN92" s="741"/>
      <c r="BO92" s="741"/>
      <c r="BP92" s="741"/>
      <c r="BQ92" s="741"/>
      <c r="BR92" s="743">
        <v>0</v>
      </c>
    </row>
    <row s="1639" customFormat="1" customHeight="1" ht="33.333333333333336">
      <c r="A93" s="2388"/>
      <c r="B93" s="914"/>
      <c r="C93" s="739"/>
      <c r="D93" s="737"/>
      <c r="E93" s="550" t="str">
        <f>FHD_NUM_P_49</f>
        <v>10.2</v>
      </c>
      <c r="F93" s="1881" t="str">
        <f>FHD_P_49</f>
        <v>Объём отпущенной потребителям воды, определенный расчетным способом</v>
      </c>
      <c r="G93" s="1882" t="s">
        <v>727</v>
      </c>
      <c r="H93" s="982">
        <f>SUM(H94:H95)</f>
        <v>0</v>
      </c>
      <c r="I93" s="753">
        <f>SUM(I94:I95)</f>
        <v>10.3044</v>
      </c>
      <c r="J93" s="982">
        <f>SUM(J94:J95)</f>
        <v>0</v>
      </c>
      <c r="K93" s="982">
        <f>SUM(K94:K95)</f>
        <v>0</v>
      </c>
      <c r="L93" s="982">
        <f>SUM(L94:L95)</f>
        <v>1.9563</v>
      </c>
      <c r="M93" s="982">
        <f>SUM(M94:M95)</f>
        <v>61.8145</v>
      </c>
      <c r="N93" s="982">
        <f>SUM(N94:N95)</f>
        <v>17.9275</v>
      </c>
      <c r="O93" s="982">
        <f>SUM(O94:O95)</f>
        <v>98.5062</v>
      </c>
      <c r="P93" s="982">
        <f>SUM(P94:P95)</f>
        <v>25.8625</v>
      </c>
      <c r="Q93" s="982">
        <f>SUM(Q94:Q95)</f>
        <v>18.0936</v>
      </c>
      <c r="R93" s="982">
        <f>SUM(R94:R95)</f>
        <v>99.068</v>
      </c>
      <c r="S93" s="982">
        <f>SUM(S94:S95)</f>
        <v>20.5301</v>
      </c>
      <c r="T93" s="982">
        <f>SUM(T94:T95)</f>
        <v>36.1358</v>
      </c>
      <c r="U93" s="982">
        <f>SUM(U94:U95)</f>
        <v>27.0332</v>
      </c>
      <c r="V93" s="982">
        <f>SUM(V94:V95)</f>
        <v>898.0463</v>
      </c>
      <c r="W93" s="982">
        <f>SUM(W94:W95)</f>
        <v>76.151</v>
      </c>
      <c r="X93" s="982">
        <f>SUM(X94:X95)</f>
        <v>1069.4633</v>
      </c>
      <c r="Y93" s="982">
        <f>SUM(Y94:Y95)</f>
        <v>292.4053</v>
      </c>
      <c r="Z93" s="982">
        <f>SUM(Z94:Z95)</f>
        <v>31.5177</v>
      </c>
      <c r="AA93" s="982">
        <f>SUM(AA94:AA95)</f>
        <v>927.7897</v>
      </c>
      <c r="AB93" s="982">
        <f>SUM(AB94:AB95)</f>
        <v>0</v>
      </c>
      <c r="AC93" s="982">
        <f>SUM(AC94:AC95)</f>
        <v>159.9939</v>
      </c>
      <c r="AD93" s="982">
        <f>SUM(AD94:AD95)</f>
        <v>22.7918</v>
      </c>
      <c r="AE93" s="982">
        <f>SUM(AE94:AE95)</f>
        <v>5.63</v>
      </c>
      <c r="AF93" s="982">
        <f>SUM(AF94:AF95)</f>
        <v>5.6505</v>
      </c>
      <c r="AG93" s="982">
        <f>SUM(AG94:AG95)</f>
        <v>34.3057</v>
      </c>
      <c r="AH93" s="982">
        <f>SUM(AH94:AH95)</f>
        <v>6.1822</v>
      </c>
      <c r="AI93" s="982">
        <f>SUM(AI94:AI95)</f>
        <v>73.1591</v>
      </c>
      <c r="AJ93" s="982">
        <f>SUM(AJ94:AJ95)</f>
        <v>132.9683</v>
      </c>
      <c r="AK93" s="982">
        <f>SUM(AK94:AK95)</f>
        <v>11.91</v>
      </c>
      <c r="AL93" s="982">
        <f>SUM(AL94:AL95)</f>
        <v>0</v>
      </c>
      <c r="AM93" s="982">
        <f>SUM(AM94:AM95)</f>
        <v>0</v>
      </c>
      <c r="AN93" s="982">
        <f>SUM(AN94:AN95)</f>
        <v>0</v>
      </c>
      <c r="AO93" s="982">
        <f>SUM(AO94:AO95)</f>
        <v>0</v>
      </c>
      <c r="AP93" s="982">
        <f>SUM(AP94:AP95)</f>
        <v>0</v>
      </c>
      <c r="AQ93" s="982">
        <f>SUM(AQ94:AQ95)</f>
        <v>0.7545</v>
      </c>
      <c r="AR93" s="982">
        <f>SUM(AR94:AR95)</f>
        <v>0.1895</v>
      </c>
      <c r="AS93" s="982">
        <f>SUM(AS94:AS95)</f>
        <v>0.1259</v>
      </c>
      <c r="AT93" s="982">
        <f>SUM(AT94:AT95)</f>
        <v>2.0264</v>
      </c>
      <c r="AU93" s="982">
        <f>SUM(AU94:AU95)</f>
        <v>0.061</v>
      </c>
      <c r="AV93" s="293" t="str">
        <f>FHD_NOTE_P_49</f>
        <v/>
      </c>
      <c r="AW93" s="738"/>
      <c r="AX93" s="739"/>
      <c r="AY93" s="739"/>
      <c r="AZ93" s="914"/>
      <c r="BA93" s="914"/>
      <c r="BB93" s="914"/>
      <c r="BC93" s="914"/>
      <c r="BD93" s="739"/>
      <c r="BE93" s="914"/>
      <c r="BF93" s="914"/>
      <c r="BG93" s="740"/>
      <c r="BH93" s="914"/>
      <c r="BI93" s="914"/>
      <c r="BJ93" s="914"/>
      <c r="BK93" s="914"/>
      <c r="BL93" s="914"/>
      <c r="BM93" s="741"/>
      <c r="BN93" s="741"/>
      <c r="BO93" s="741"/>
      <c r="BP93" s="741"/>
      <c r="BQ93" s="741"/>
      <c r="BR93" s="743">
        <v>0</v>
      </c>
    </row>
    <row s="1639" customFormat="1" customHeight="1" ht="33.333333333333336">
      <c r="A94" s="2388"/>
      <c r="B94" s="914"/>
      <c r="C94" s="739"/>
      <c r="D94" s="737"/>
      <c r="E94" s="550" t="str">
        <f>FHD_NUM_P_50</f>
        <v>10.2.1</v>
      </c>
      <c r="F94" s="1881" t="str">
        <f>FHD_P_50</f>
        <v>Объём отпущенной потребителям воды, определенный по нормативам потребления коммунальных услуг</v>
      </c>
      <c r="G94" s="1882" t="s">
        <v>727</v>
      </c>
      <c r="H94" s="981"/>
      <c r="I94" s="581">
        <v>10.3044</v>
      </c>
      <c r="J94" s="981">
        <v>0</v>
      </c>
      <c r="K94" s="981">
        <v>0</v>
      </c>
      <c r="L94" s="981">
        <v>1.9563</v>
      </c>
      <c r="M94" s="981">
        <v>61.8145</v>
      </c>
      <c r="N94" s="981">
        <v>17.9275</v>
      </c>
      <c r="O94" s="981">
        <v>98.5062</v>
      </c>
      <c r="P94" s="981">
        <v>25.8625</v>
      </c>
      <c r="Q94" s="981">
        <v>18.0936</v>
      </c>
      <c r="R94" s="981">
        <v>99.068</v>
      </c>
      <c r="S94" s="981">
        <v>20.5301</v>
      </c>
      <c r="T94" s="981">
        <v>36.1358</v>
      </c>
      <c r="U94" s="981">
        <v>27.0332</v>
      </c>
      <c r="V94" s="981">
        <v>898.0463</v>
      </c>
      <c r="W94" s="981">
        <v>76.151</v>
      </c>
      <c r="X94" s="981">
        <v>1069.4633</v>
      </c>
      <c r="Y94" s="981">
        <v>292.4053</v>
      </c>
      <c r="Z94" s="981">
        <v>31.5177</v>
      </c>
      <c r="AA94" s="981">
        <v>927.7897</v>
      </c>
      <c r="AB94" s="981">
        <v>0</v>
      </c>
      <c r="AC94" s="981">
        <v>159.9939</v>
      </c>
      <c r="AD94" s="981">
        <v>22.7918</v>
      </c>
      <c r="AE94" s="981">
        <v>5.63</v>
      </c>
      <c r="AF94" s="981">
        <v>5.6505</v>
      </c>
      <c r="AG94" s="981">
        <v>34.3057</v>
      </c>
      <c r="AH94" s="981">
        <v>6.1822</v>
      </c>
      <c r="AI94" s="981">
        <v>73.1591</v>
      </c>
      <c r="AJ94" s="981">
        <v>132.9683</v>
      </c>
      <c r="AK94" s="981">
        <v>11.91</v>
      </c>
      <c r="AL94" s="981">
        <v>0</v>
      </c>
      <c r="AM94" s="981">
        <v>0</v>
      </c>
      <c r="AN94" s="981">
        <v>0</v>
      </c>
      <c r="AO94" s="981">
        <v>0</v>
      </c>
      <c r="AP94" s="981">
        <v>0</v>
      </c>
      <c r="AQ94" s="981">
        <v>0.7545</v>
      </c>
      <c r="AR94" s="981">
        <v>0.1895</v>
      </c>
      <c r="AS94" s="981">
        <v>0.1259</v>
      </c>
      <c r="AT94" s="981">
        <v>2.0264</v>
      </c>
      <c r="AU94" s="981">
        <v>0.061</v>
      </c>
      <c r="AV94" s="293" t="str">
        <f>FHD_NOTE_P_50</f>
        <v/>
      </c>
      <c r="AW94" s="738"/>
      <c r="AX94" s="739"/>
      <c r="AY94" s="739"/>
      <c r="AZ94" s="914"/>
      <c r="BA94" s="914"/>
      <c r="BB94" s="914"/>
      <c r="BC94" s="914"/>
      <c r="BD94" s="739"/>
      <c r="BE94" s="914"/>
      <c r="BF94" s="914"/>
      <c r="BG94" s="740"/>
      <c r="BH94" s="914"/>
      <c r="BI94" s="914"/>
      <c r="BJ94" s="914"/>
      <c r="BK94" s="914"/>
      <c r="BL94" s="914"/>
      <c r="BM94" s="741"/>
      <c r="BN94" s="741"/>
      <c r="BO94" s="741"/>
      <c r="BP94" s="741"/>
      <c r="BQ94" s="741"/>
      <c r="BR94" s="743">
        <v>0</v>
      </c>
    </row>
    <row s="1639" customFormat="1" customHeight="1" ht="33.333333333333336">
      <c r="A95" s="2388"/>
      <c r="B95" s="914"/>
      <c r="C95" s="739"/>
      <c r="D95" s="737"/>
      <c r="E95" s="550" t="str">
        <f>FHD_NUM_P_51</f>
        <v>10.2.2</v>
      </c>
      <c r="F95" s="1881" t="str">
        <f>FHD_P_51</f>
        <v>Объём отпущенной потребителям воды, определенный по нормативам потребления коммунальных ресурсов </v>
      </c>
      <c r="G95" s="1882" t="s">
        <v>727</v>
      </c>
      <c r="H95" s="981"/>
      <c r="I95" s="581">
        <v>0</v>
      </c>
      <c r="J95" s="981">
        <v>0</v>
      </c>
      <c r="K95" s="981">
        <v>0</v>
      </c>
      <c r="L95" s="981">
        <v>0</v>
      </c>
      <c r="M95" s="981">
        <v>0</v>
      </c>
      <c r="N95" s="981">
        <v>0</v>
      </c>
      <c r="O95" s="981">
        <v>0</v>
      </c>
      <c r="P95" s="981">
        <v>0</v>
      </c>
      <c r="Q95" s="981">
        <v>0</v>
      </c>
      <c r="R95" s="981">
        <v>0</v>
      </c>
      <c r="S95" s="981">
        <v>0</v>
      </c>
      <c r="T95" s="981">
        <v>0</v>
      </c>
      <c r="U95" s="981">
        <v>0</v>
      </c>
      <c r="V95" s="981">
        <v>0</v>
      </c>
      <c r="W95" s="981">
        <v>0</v>
      </c>
      <c r="X95" s="981">
        <v>0</v>
      </c>
      <c r="Y95" s="981">
        <v>0</v>
      </c>
      <c r="Z95" s="981">
        <v>0</v>
      </c>
      <c r="AA95" s="981">
        <v>0</v>
      </c>
      <c r="AB95" s="981">
        <v>0</v>
      </c>
      <c r="AC95" s="981">
        <v>0</v>
      </c>
      <c r="AD95" s="981">
        <v>0</v>
      </c>
      <c r="AE95" s="981">
        <v>0</v>
      </c>
      <c r="AF95" s="981">
        <v>0</v>
      </c>
      <c r="AG95" s="981">
        <v>0</v>
      </c>
      <c r="AH95" s="981">
        <v>0</v>
      </c>
      <c r="AI95" s="981">
        <v>0</v>
      </c>
      <c r="AJ95" s="981">
        <v>0</v>
      </c>
      <c r="AK95" s="981">
        <v>0</v>
      </c>
      <c r="AL95" s="981">
        <v>0</v>
      </c>
      <c r="AM95" s="981">
        <v>0</v>
      </c>
      <c r="AN95" s="981">
        <v>0</v>
      </c>
      <c r="AO95" s="981">
        <v>0</v>
      </c>
      <c r="AP95" s="981">
        <v>0</v>
      </c>
      <c r="AQ95" s="981">
        <v>0</v>
      </c>
      <c r="AR95" s="981">
        <v>0</v>
      </c>
      <c r="AS95" s="981">
        <v>0</v>
      </c>
      <c r="AT95" s="981">
        <v>0</v>
      </c>
      <c r="AU95" s="981">
        <v>0</v>
      </c>
      <c r="AV95" s="293" t="str">
        <f>FHD_NOTE_P_51</f>
        <v/>
      </c>
      <c r="AW95" s="738"/>
      <c r="AX95" s="739"/>
      <c r="AY95" s="739"/>
      <c r="AZ95" s="914"/>
      <c r="BA95" s="914"/>
      <c r="BB95" s="914"/>
      <c r="BC95" s="914"/>
      <c r="BD95" s="739"/>
      <c r="BE95" s="914"/>
      <c r="BF95" s="914"/>
      <c r="BG95" s="740"/>
      <c r="BH95" s="914"/>
      <c r="BI95" s="914"/>
      <c r="BJ95" s="914"/>
      <c r="BK95" s="914"/>
      <c r="BL95" s="914"/>
      <c r="BM95" s="741"/>
      <c r="BN95" s="741"/>
      <c r="BO95" s="741"/>
      <c r="BP95" s="741"/>
      <c r="BQ95" s="741"/>
      <c r="BR95" s="743">
        <v>0</v>
      </c>
    </row>
    <row s="1639" customFormat="1" customHeight="1" ht="33.333333333333336">
      <c r="A96" s="2388"/>
      <c r="B96" s="914"/>
      <c r="C96" s="739"/>
      <c r="D96" s="737"/>
      <c r="E96" s="550" t="str">
        <f>FHD_NUM_P_52</f>
        <v>11</v>
      </c>
      <c r="F96" s="1881" t="str">
        <f>FHD_P_52</f>
        <v>Потери воды в сетях</v>
      </c>
      <c r="G96" s="1882" t="s">
        <v>696</v>
      </c>
      <c r="H96" s="980"/>
      <c r="I96" s="561">
        <v>74.53</v>
      </c>
      <c r="J96" s="980">
        <v>0</v>
      </c>
      <c r="K96" s="980">
        <v>0</v>
      </c>
      <c r="L96" s="980">
        <v>0</v>
      </c>
      <c r="M96" s="980">
        <v>78.02</v>
      </c>
      <c r="N96" s="980">
        <v>19.88</v>
      </c>
      <c r="O96" s="980">
        <v>58.55</v>
      </c>
      <c r="P96" s="980">
        <v>74.9</v>
      </c>
      <c r="Q96" s="980">
        <v>80.84</v>
      </c>
      <c r="R96" s="980">
        <v>72.23</v>
      </c>
      <c r="S96" s="980">
        <v>26.13</v>
      </c>
      <c r="T96" s="980">
        <v>74.94</v>
      </c>
      <c r="U96" s="980">
        <v>61.61</v>
      </c>
      <c r="V96" s="980">
        <v>66.49</v>
      </c>
      <c r="W96" s="980">
        <v>58.08</v>
      </c>
      <c r="X96" s="980">
        <v>71.46</v>
      </c>
      <c r="Y96" s="980">
        <v>45.25</v>
      </c>
      <c r="Z96" s="980">
        <v>30.08</v>
      </c>
      <c r="AA96" s="980">
        <v>57.13</v>
      </c>
      <c r="AB96" s="980">
        <v>4.71</v>
      </c>
      <c r="AC96" s="980">
        <v>35.15</v>
      </c>
      <c r="AD96" s="980">
        <v>9.04</v>
      </c>
      <c r="AE96" s="980">
        <v>67.89</v>
      </c>
      <c r="AF96" s="980">
        <v>3.37</v>
      </c>
      <c r="AG96" s="980">
        <v>56.8</v>
      </c>
      <c r="AH96" s="980">
        <v>33.11</v>
      </c>
      <c r="AI96" s="980">
        <v>7.79</v>
      </c>
      <c r="AJ96" s="980">
        <v>43.34</v>
      </c>
      <c r="AK96" s="980">
        <v>0</v>
      </c>
      <c r="AL96" s="980">
        <v>0</v>
      </c>
      <c r="AM96" s="980">
        <v>0</v>
      </c>
      <c r="AN96" s="980">
        <v>0</v>
      </c>
      <c r="AO96" s="980">
        <v>0</v>
      </c>
      <c r="AP96" s="980">
        <v>0</v>
      </c>
      <c r="AQ96" s="980">
        <v>0</v>
      </c>
      <c r="AR96" s="980">
        <v>0</v>
      </c>
      <c r="AS96" s="980">
        <v>0</v>
      </c>
      <c r="AT96" s="980">
        <v>0</v>
      </c>
      <c r="AU96" s="980">
        <v>0</v>
      </c>
      <c r="AV96" s="293" t="str">
        <f>FHD_NOTE_P_52</f>
        <v/>
      </c>
      <c r="AW96" s="738"/>
      <c r="AX96" s="739"/>
      <c r="AY96" s="739"/>
      <c r="AZ96" s="914"/>
      <c r="BA96" s="914"/>
      <c r="BB96" s="914"/>
      <c r="BC96" s="914"/>
      <c r="BD96" s="739"/>
      <c r="BE96" s="914"/>
      <c r="BF96" s="914"/>
      <c r="BG96" s="740"/>
      <c r="BH96" s="914"/>
      <c r="BI96" s="914"/>
      <c r="BJ96" s="914"/>
      <c r="BK96" s="914"/>
      <c r="BL96" s="914"/>
      <c r="BM96" s="741"/>
      <c r="BN96" s="741"/>
      <c r="BO96" s="741"/>
      <c r="BP96" s="741"/>
      <c r="BQ96" s="741"/>
      <c r="BR96" s="743">
        <v>0</v>
      </c>
    </row>
    <row s="1370" customFormat="1" customHeight="1" ht="33.333333333333336" hidden="1">
      <c r="A97" s="2390" t="s">
        <v>728</v>
      </c>
      <c r="C97" s="739"/>
      <c r="D97" s="737"/>
      <c r="E97" s="550" t="str">
        <f>FHD_NUM_P_53</f>
        <v/>
      </c>
      <c r="F97" s="1881" t="str">
        <f>FHD_P_53</f>
        <v/>
      </c>
      <c r="G97" s="1882" t="s">
        <v>727</v>
      </c>
      <c r="H97" s="981"/>
      <c r="I97" s="5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293" t="str">
        <f>FHD_NOTE_P_53</f>
        <v/>
      </c>
      <c r="AW97" s="738"/>
      <c r="AX97" s="739"/>
      <c r="AY97" s="739"/>
      <c r="BD97" s="739"/>
      <c r="BG97" s="740"/>
      <c r="BM97" s="741"/>
      <c r="BN97" s="741"/>
      <c r="BO97" s="741"/>
      <c r="BP97" s="741"/>
      <c r="BQ97" s="741"/>
      <c r="BR97" s="914">
        <v>0</v>
      </c>
    </row>
    <row s="1370" customFormat="1" customHeight="1" ht="33.333333333333336" hidden="1">
      <c r="A98" s="2390"/>
      <c r="C98" s="739"/>
      <c r="D98" s="737"/>
      <c r="E98" s="550" t="str">
        <f>FHD_NUM_P_54</f>
        <v/>
      </c>
      <c r="F98" s="1881" t="str">
        <f>FHD_P_54</f>
        <v/>
      </c>
      <c r="G98" s="1882" t="s">
        <v>727</v>
      </c>
      <c r="H98" s="981"/>
      <c r="I98" s="5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293" t="str">
        <f>FHD_NOTE_P_54</f>
        <v/>
      </c>
      <c r="AW98" s="738"/>
      <c r="AX98" s="739"/>
      <c r="AY98" s="739"/>
      <c r="BD98" s="739"/>
      <c r="BG98" s="740"/>
      <c r="BM98" s="741"/>
      <c r="BN98" s="741"/>
      <c r="BO98" s="741"/>
      <c r="BP98" s="741"/>
      <c r="BQ98" s="741"/>
      <c r="BR98" s="914">
        <v>0</v>
      </c>
    </row>
    <row s="1370" customFormat="1" customHeight="1" ht="33.333333333333336" hidden="1">
      <c r="A99" s="2390"/>
      <c r="C99" s="739"/>
      <c r="D99" s="742"/>
      <c r="E99" s="550" t="str">
        <f>FHD_NUM_P_55</f>
        <v/>
      </c>
      <c r="F99" s="1881" t="str">
        <f>FHD_P_55</f>
        <v/>
      </c>
      <c r="G99" s="1885"/>
      <c r="H99" s="981"/>
      <c r="I99" s="5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c r="AL99" s="981"/>
      <c r="AM99" s="981"/>
      <c r="AN99" s="981"/>
      <c r="AO99" s="981"/>
      <c r="AP99" s="981"/>
      <c r="AQ99" s="981"/>
      <c r="AR99" s="981"/>
      <c r="AS99" s="981"/>
      <c r="AT99" s="981"/>
      <c r="AU99" s="981"/>
      <c r="AV99" s="293" t="str">
        <f>FHD_NOTE_P_55</f>
        <v/>
      </c>
      <c r="AW99" s="738"/>
      <c r="AX99" s="739"/>
      <c r="AY99" s="739"/>
      <c r="BD99" s="739"/>
      <c r="BG99" s="740"/>
      <c r="BM99" s="741"/>
      <c r="BN99" s="741"/>
      <c r="BO99" s="741"/>
      <c r="BP99" s="741"/>
      <c r="BQ99" s="741"/>
      <c r="BR99" s="914">
        <v>0</v>
      </c>
    </row>
    <row s="1370" customFormat="1" customHeight="1" ht="33.333333333333336" hidden="1">
      <c r="A100" s="2390"/>
      <c r="C100" s="739"/>
      <c r="D100" s="737"/>
      <c r="E100" s="550" t="str">
        <f>FHD_NUM_P_56</f>
        <v/>
      </c>
      <c r="F100" s="1881" t="str">
        <f>FHD_P_56</f>
        <v/>
      </c>
      <c r="G100" s="1882" t="s">
        <v>729</v>
      </c>
      <c r="H100" s="981"/>
      <c r="I100" s="5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c r="AL100" s="981"/>
      <c r="AM100" s="981"/>
      <c r="AN100" s="981"/>
      <c r="AO100" s="981"/>
      <c r="AP100" s="981"/>
      <c r="AQ100" s="981"/>
      <c r="AR100" s="981"/>
      <c r="AS100" s="981"/>
      <c r="AT100" s="981"/>
      <c r="AU100" s="981"/>
      <c r="AV100" s="293" t="str">
        <f>FHD_NOTE_P_56</f>
        <v/>
      </c>
      <c r="AW100" s="738"/>
      <c r="AX100" s="739"/>
      <c r="AY100" s="739"/>
      <c r="BD100" s="739"/>
      <c r="BG100" s="740"/>
      <c r="BM100" s="741"/>
      <c r="BN100" s="741"/>
      <c r="BO100" s="741"/>
      <c r="BP100" s="741"/>
      <c r="BQ100" s="741"/>
      <c r="BR100" s="914">
        <v>0</v>
      </c>
    </row>
    <row s="1639" customFormat="1" customHeight="1" ht="33.333333333333336" hidden="1">
      <c r="A101" s="2390"/>
      <c r="B101" s="914"/>
      <c r="C101" s="739"/>
      <c r="D101" s="737"/>
      <c r="E101" s="550" t="str">
        <f>FHD_NUM_P_57</f>
        <v/>
      </c>
      <c r="F101" s="1881" t="str">
        <f>FHD_P_57</f>
        <v/>
      </c>
      <c r="G101" s="1882" t="s">
        <v>696</v>
      </c>
      <c r="H101" s="980"/>
      <c r="I101" s="561"/>
      <c r="J101" s="980"/>
      <c r="K101" s="980"/>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980"/>
      <c r="AH101" s="980"/>
      <c r="AI101" s="980"/>
      <c r="AJ101" s="980"/>
      <c r="AK101" s="980"/>
      <c r="AL101" s="980"/>
      <c r="AM101" s="980"/>
      <c r="AN101" s="980"/>
      <c r="AO101" s="980"/>
      <c r="AP101" s="980"/>
      <c r="AQ101" s="980"/>
      <c r="AR101" s="980"/>
      <c r="AS101" s="980"/>
      <c r="AT101" s="980"/>
      <c r="AU101" s="980"/>
      <c r="AV101" s="293" t="str">
        <f>FHD_NOTE_P_57</f>
        <v/>
      </c>
      <c r="AW101" s="738"/>
      <c r="AX101" s="739"/>
      <c r="AY101" s="739"/>
      <c r="AZ101" s="914"/>
      <c r="BA101" s="914"/>
      <c r="BB101" s="914"/>
      <c r="BC101" s="914"/>
      <c r="BD101" s="739"/>
      <c r="BE101" s="914"/>
      <c r="BF101" s="914"/>
      <c r="BG101" s="740"/>
      <c r="BH101" s="914"/>
      <c r="BI101" s="914"/>
      <c r="BJ101" s="914"/>
      <c r="BK101" s="914"/>
      <c r="BL101" s="914"/>
      <c r="BM101" s="741"/>
      <c r="BN101" s="741"/>
      <c r="BO101" s="741"/>
      <c r="BP101" s="741"/>
      <c r="BQ101" s="741"/>
      <c r="BR101" s="743">
        <v>0</v>
      </c>
    </row>
    <row customHeight="1" ht="33.333333333333336" hidden="1">
      <c r="A102" s="2388" t="s">
        <v>730</v>
      </c>
      <c r="D102" s="1642"/>
      <c r="E102" s="550" t="str">
        <f>FHD_NUM_P_58</f>
        <v/>
      </c>
      <c r="F102" s="1881" t="str">
        <f>FHD_P_58</f>
        <v/>
      </c>
      <c r="G102" s="1882" t="s">
        <v>727</v>
      </c>
      <c r="H102" s="981"/>
      <c r="I102" s="5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c r="AU102" s="981"/>
      <c r="AV102" s="293" t="str">
        <f>FHD_NOTE_P_58</f>
        <v/>
      </c>
      <c r="AW102" s="547"/>
      <c r="BR102" s="1635">
        <v>0</v>
      </c>
    </row>
    <row customHeight="1" ht="33.333333333333336" hidden="1">
      <c r="A103" s="2388"/>
      <c r="D103" s="1642"/>
      <c r="E103" s="550" t="str">
        <f>FHD_NUM_P_59</f>
        <v/>
      </c>
      <c r="F103" s="1881" t="str">
        <f>FHD_P_59</f>
        <v/>
      </c>
      <c r="G103" s="1882" t="s">
        <v>727</v>
      </c>
      <c r="H103" s="981"/>
      <c r="I103" s="5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c r="AU103" s="981"/>
      <c r="AV103" s="293" t="str">
        <f>FHD_NOTE_P_59</f>
        <v/>
      </c>
      <c r="AW103" s="547"/>
      <c r="BR103" s="1635">
        <v>0</v>
      </c>
    </row>
    <row customHeight="1" ht="33.333333333333336" hidden="1">
      <c r="A104" s="2388"/>
      <c r="D104" s="1642"/>
      <c r="E104" s="550" t="str">
        <f>FHD_NUM_P_60</f>
        <v/>
      </c>
      <c r="F104" s="1881" t="str">
        <f>FHD_P_60</f>
        <v/>
      </c>
      <c r="G104" s="1882" t="s">
        <v>727</v>
      </c>
      <c r="H104" s="981"/>
      <c r="I104" s="5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c r="AU104" s="981"/>
      <c r="AV104" s="293" t="str">
        <f>FHD_NOTE_P_60</f>
        <v/>
      </c>
      <c r="AW104" s="547"/>
      <c r="BR104" s="1635">
        <v>0</v>
      </c>
    </row>
    <row s="1370" customFormat="1" customHeight="1" ht="33.333333333333336" hidden="1">
      <c r="A105" s="2388" t="s">
        <v>731</v>
      </c>
      <c r="C105" s="1640"/>
      <c r="D105" s="1642"/>
      <c r="E105" s="550" t="str">
        <f>FHD_NUM_P_61</f>
        <v/>
      </c>
      <c r="F105" s="1881" t="str">
        <f>FHD_P_61</f>
        <v/>
      </c>
      <c r="G105" s="1879" t="s">
        <v>694</v>
      </c>
      <c r="H105" s="983"/>
      <c r="I105" s="746"/>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c r="AL105" s="983"/>
      <c r="AM105" s="983"/>
      <c r="AN105" s="983"/>
      <c r="AO105" s="983"/>
      <c r="AP105" s="983"/>
      <c r="AQ105" s="983"/>
      <c r="AR105" s="983"/>
      <c r="AS105" s="983"/>
      <c r="AT105" s="983"/>
      <c r="AU105" s="983"/>
      <c r="AV105" s="293" t="str">
        <f>FHD_NOTE_P_61</f>
        <v/>
      </c>
      <c r="AW105" s="547"/>
      <c r="AX105" s="1640"/>
      <c r="AY105" s="1640"/>
      <c r="BD105" s="1640"/>
      <c r="BG105" s="548"/>
      <c r="BM105" s="1636"/>
      <c r="BN105" s="1636"/>
      <c r="BO105" s="1636"/>
      <c r="BP105" s="1636"/>
      <c r="BQ105" s="1636"/>
      <c r="BR105" s="1164">
        <v>0</v>
      </c>
    </row>
    <row s="1646" customFormat="1" customHeight="1" ht="33.333333333333336" hidden="1">
      <c r="A106" s="2388"/>
      <c r="D106" s="552"/>
      <c r="E106" s="1017" t="str">
        <f>E105&amp;".0"</f>
        <v>.0</v>
      </c>
      <c r="F106" s="998"/>
      <c r="G106" s="999"/>
      <c r="H106" s="996"/>
      <c r="I106" s="996"/>
      <c r="J106" s="996"/>
      <c r="K106" s="996"/>
      <c r="L106" s="996"/>
      <c r="M106" s="996"/>
      <c r="N106" s="996"/>
      <c r="O106" s="996"/>
      <c r="P106" s="996"/>
      <c r="Q106" s="996"/>
      <c r="R106" s="996"/>
      <c r="S106" s="996"/>
      <c r="T106" s="996"/>
      <c r="U106" s="996"/>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6"/>
      <c r="AQ106" s="996"/>
      <c r="AR106" s="996"/>
      <c r="AS106" s="996"/>
      <c r="AT106" s="996"/>
      <c r="AU106" s="996"/>
      <c r="AV106" s="1000"/>
      <c r="BR106" s="1640">
        <v>0</v>
      </c>
    </row>
    <row customHeight="1" ht="33.333333333333336" hidden="1">
      <c r="A107" s="2388"/>
      <c r="D107" s="1637"/>
      <c r="E107" s="975"/>
      <c r="F107" s="976" t="s">
        <v>732</v>
      </c>
      <c r="G107" s="576"/>
      <c r="H107" s="577"/>
      <c r="I107" s="577"/>
      <c r="J107" s="2734"/>
      <c r="K107" s="2735"/>
      <c r="L107" s="2736"/>
      <c r="M107" s="2737"/>
      <c r="N107" s="2738"/>
      <c r="O107" s="2739"/>
      <c r="P107" s="2740"/>
      <c r="Q107" s="2741"/>
      <c r="R107" s="2742"/>
      <c r="S107" s="2743"/>
      <c r="T107" s="2744"/>
      <c r="U107" s="2745"/>
      <c r="V107" s="2746"/>
      <c r="W107" s="2747"/>
      <c r="X107" s="2748"/>
      <c r="Y107" s="2749"/>
      <c r="Z107" s="2750"/>
      <c r="AA107" s="2751"/>
      <c r="AB107" s="2752"/>
      <c r="AC107" s="2753"/>
      <c r="AD107" s="2754"/>
      <c r="AE107" s="2755"/>
      <c r="AF107" s="2756"/>
      <c r="AG107" s="2757"/>
      <c r="AH107" s="2758"/>
      <c r="AI107" s="2759"/>
      <c r="AJ107" s="2760"/>
      <c r="AK107" s="2761"/>
      <c r="AL107" s="2762"/>
      <c r="AM107" s="2763"/>
      <c r="AN107" s="2765"/>
      <c r="AO107" s="2766"/>
      <c r="AP107" s="2768"/>
      <c r="AQ107" s="2770"/>
      <c r="AR107" s="2771"/>
      <c r="AS107" s="2772"/>
      <c r="AT107" s="2773"/>
      <c r="AU107" s="2774"/>
      <c r="AV107" s="1008" t="s">
        <v>733</v>
      </c>
      <c r="AW107" s="547"/>
      <c r="BR107" s="1635">
        <v>0</v>
      </c>
    </row>
    <row s="1370" customFormat="1" customHeight="1" ht="33.333333333333336" hidden="1">
      <c r="A108" s="2388"/>
      <c r="C108" s="1640"/>
      <c r="D108" s="1642"/>
      <c r="E108" s="550" t="str">
        <f>FHD_NUM_P_62</f>
        <v/>
      </c>
      <c r="F108" s="1881" t="str">
        <f>FHD_P_62</f>
        <v/>
      </c>
      <c r="G108" s="1878" t="s">
        <v>694</v>
      </c>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1"/>
      <c r="AK108" s="561"/>
      <c r="AL108" s="561"/>
      <c r="AM108" s="561"/>
      <c r="AN108" s="561"/>
      <c r="AO108" s="561"/>
      <c r="AP108" s="561"/>
      <c r="AQ108" s="561"/>
      <c r="AR108" s="561"/>
      <c r="AS108" s="561"/>
      <c r="AT108" s="561"/>
      <c r="AU108" s="561"/>
      <c r="AV108" s="293" t="str">
        <f>FHD_NOTE_P_62</f>
        <v/>
      </c>
      <c r="AW108" s="547"/>
      <c r="AX108" s="1640"/>
      <c r="AY108" s="1640"/>
      <c r="BD108" s="1640"/>
      <c r="BG108" s="548"/>
      <c r="BM108" s="1636"/>
      <c r="BN108" s="1636"/>
      <c r="BO108" s="1636"/>
      <c r="BP108" s="1636"/>
      <c r="BQ108" s="1636"/>
      <c r="BR108" s="1164">
        <v>0</v>
      </c>
    </row>
    <row s="1370" customFormat="1" customHeight="1" ht="33.333333333333336" hidden="1">
      <c r="A109" s="2388"/>
      <c r="C109" s="1640"/>
      <c r="D109" s="1642"/>
      <c r="E109" s="550" t="str">
        <f>FHD_NUM_P_63</f>
        <v/>
      </c>
      <c r="F109" s="1881" t="str">
        <f>FHD_P_63</f>
        <v/>
      </c>
      <c r="G109" s="1878" t="s">
        <v>729</v>
      </c>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293" t="str">
        <f>FHD_NOTE_P_63</f>
        <v/>
      </c>
      <c r="AW109" s="547"/>
      <c r="AX109" s="1640"/>
      <c r="AY109" s="1640"/>
      <c r="BD109" s="1640"/>
      <c r="BG109" s="548"/>
      <c r="BM109" s="1636"/>
      <c r="BN109" s="1636"/>
      <c r="BO109" s="1636"/>
      <c r="BP109" s="1636"/>
      <c r="BQ109" s="1636"/>
      <c r="BR109" s="1164">
        <v>0</v>
      </c>
    </row>
    <row s="1370" customFormat="1" customHeight="1" ht="33.333333333333336" hidden="1">
      <c r="A110" s="2388"/>
      <c r="C110" s="1640"/>
      <c r="D110" s="1642"/>
      <c r="E110" s="550" t="str">
        <f>FHD_NUM_P_64</f>
        <v/>
      </c>
      <c r="F110" s="1881" t="str">
        <f>FHD_P_64</f>
        <v/>
      </c>
      <c r="G110" s="1878" t="s">
        <v>729</v>
      </c>
      <c r="H110" s="1411"/>
      <c r="I110" s="755"/>
      <c r="J110" s="1411"/>
      <c r="K110" s="1411"/>
      <c r="L110" s="1411"/>
      <c r="M110" s="1411"/>
      <c r="N110" s="1411"/>
      <c r="O110" s="1411"/>
      <c r="P110" s="1411"/>
      <c r="Q110" s="1411"/>
      <c r="R110" s="1411"/>
      <c r="S110" s="1411"/>
      <c r="T110" s="1411"/>
      <c r="U110" s="1411"/>
      <c r="V110" s="1411"/>
      <c r="W110" s="1411"/>
      <c r="X110" s="1411"/>
      <c r="Y110" s="1411"/>
      <c r="Z110" s="1411"/>
      <c r="AA110" s="1411"/>
      <c r="AB110" s="1411"/>
      <c r="AC110" s="1411"/>
      <c r="AD110" s="1411"/>
      <c r="AE110" s="1411"/>
      <c r="AF110" s="1411"/>
      <c r="AG110" s="1411"/>
      <c r="AH110" s="1411"/>
      <c r="AI110" s="1411"/>
      <c r="AJ110" s="1411"/>
      <c r="AK110" s="1411"/>
      <c r="AL110" s="1411"/>
      <c r="AM110" s="1411"/>
      <c r="AN110" s="1411"/>
      <c r="AO110" s="1411"/>
      <c r="AP110" s="1411"/>
      <c r="AQ110" s="1411"/>
      <c r="AR110" s="1411"/>
      <c r="AS110" s="1411"/>
      <c r="AT110" s="1411"/>
      <c r="AU110" s="1411"/>
      <c r="AV110" s="293" t="str">
        <f>FHD_NOTE_P_64</f>
        <v/>
      </c>
      <c r="AW110" s="547"/>
      <c r="AX110" s="1640"/>
      <c r="AY110" s="1640"/>
      <c r="BD110" s="1640"/>
      <c r="BG110" s="548"/>
      <c r="BM110" s="1636"/>
      <c r="BN110" s="1636"/>
      <c r="BO110" s="1636"/>
      <c r="BP110" s="1636"/>
      <c r="BQ110" s="1636"/>
      <c r="BR110" s="1164">
        <v>0</v>
      </c>
    </row>
    <row s="1370" customFormat="1" customHeight="1" ht="33.333333333333336" hidden="1">
      <c r="A111" s="2388"/>
      <c r="C111" s="1640"/>
      <c r="D111" s="1642"/>
      <c r="E111" s="550" t="str">
        <f>FHD_NUM_P_65</f>
        <v/>
      </c>
      <c r="F111" s="1881" t="str">
        <f>FHD_P_65</f>
        <v/>
      </c>
      <c r="G111" s="1878" t="s">
        <v>729</v>
      </c>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581"/>
      <c r="AT111" s="581"/>
      <c r="AU111" s="581"/>
      <c r="AV111" s="293" t="str">
        <f>FHD_NOTE_P_65</f>
        <v/>
      </c>
      <c r="AW111" s="547"/>
      <c r="AX111" s="1640"/>
      <c r="AY111" s="1640"/>
      <c r="BD111" s="1640"/>
      <c r="BG111" s="548"/>
      <c r="BM111" s="1636"/>
      <c r="BN111" s="1636"/>
      <c r="BO111" s="1636"/>
      <c r="BP111" s="1636"/>
      <c r="BQ111" s="1636"/>
      <c r="BR111" s="1164">
        <v>0</v>
      </c>
    </row>
    <row s="1370" customFormat="1" customHeight="1" ht="33.333333333333336" hidden="1">
      <c r="A112" s="2388"/>
      <c r="C112" s="1640"/>
      <c r="D112" s="1642"/>
      <c r="E112" s="550" t="str">
        <f>FHD_NUM_P_66</f>
        <v/>
      </c>
      <c r="F112" s="1528" t="str">
        <f>FHD_P_66</f>
        <v/>
      </c>
      <c r="G112" s="1878" t="s">
        <v>729</v>
      </c>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293" t="str">
        <f>FHD_NOTE_P_66</f>
        <v/>
      </c>
      <c r="AW112" s="547"/>
      <c r="AX112" s="1640"/>
      <c r="AY112" s="1640"/>
      <c r="BD112" s="1640"/>
      <c r="BG112" s="548"/>
      <c r="BM112" s="1636"/>
      <c r="BN112" s="1636"/>
      <c r="BO112" s="1636"/>
      <c r="BP112" s="1636"/>
      <c r="BQ112" s="1636"/>
      <c r="BR112" s="1164">
        <v>0</v>
      </c>
    </row>
    <row s="1370" customFormat="1" customHeight="1" ht="33.333333333333336" hidden="1">
      <c r="A113" s="2388"/>
      <c r="C113" s="1640"/>
      <c r="D113" s="1642"/>
      <c r="E113" s="550" t="str">
        <f>FHD_NUM_P_67</f>
        <v/>
      </c>
      <c r="F113" s="1654" t="str">
        <f>FHD_P_67</f>
        <v/>
      </c>
      <c r="G113" s="1878" t="s">
        <v>729</v>
      </c>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293" t="str">
        <f>FHD_NOTE_P_67</f>
        <v/>
      </c>
      <c r="AW113" s="547"/>
      <c r="AX113" s="1640"/>
      <c r="AY113" s="1640"/>
      <c r="BD113" s="1640"/>
      <c r="BG113" s="548"/>
      <c r="BM113" s="1636"/>
      <c r="BN113" s="1636"/>
      <c r="BO113" s="1636"/>
      <c r="BP113" s="1636"/>
      <c r="BQ113" s="1636"/>
      <c r="BR113" s="1164">
        <v>0</v>
      </c>
    </row>
    <row s="1370" customFormat="1" customHeight="1" ht="33.333333333333336" hidden="1">
      <c r="A114" s="2388"/>
      <c r="C114" s="1640"/>
      <c r="D114" s="1642"/>
      <c r="E114" s="550" t="str">
        <f>FHD_NUM_P_68</f>
        <v/>
      </c>
      <c r="F114" s="1528" t="str">
        <f>FHD_P_68</f>
        <v/>
      </c>
      <c r="G114" s="1878" t="s">
        <v>729</v>
      </c>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293" t="str">
        <f>FHD_NOTE_P_68</f>
        <v/>
      </c>
      <c r="AW114" s="547"/>
      <c r="AX114" s="1640"/>
      <c r="AY114" s="1640"/>
      <c r="BD114" s="1640"/>
      <c r="BG114" s="548"/>
      <c r="BM114" s="1636"/>
      <c r="BN114" s="1636"/>
      <c r="BO114" s="1636"/>
      <c r="BP114" s="1636"/>
      <c r="BQ114" s="1636"/>
      <c r="BR114" s="1164">
        <v>0</v>
      </c>
    </row>
    <row s="1370" customFormat="1" customHeight="1" ht="33.333333333333336" hidden="1">
      <c r="A115" s="2388"/>
      <c r="C115" s="1640"/>
      <c r="D115" s="1642"/>
      <c r="E115" s="550" t="str">
        <f>FHD_NUM_P_69</f>
        <v/>
      </c>
      <c r="F115" s="1528" t="str">
        <f>FHD_P_69</f>
        <v/>
      </c>
      <c r="G115" s="1878" t="s">
        <v>729</v>
      </c>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293" t="str">
        <f>FHD_NOTE_P_69</f>
        <v/>
      </c>
      <c r="AW115" s="547"/>
      <c r="AX115" s="1640"/>
      <c r="AY115" s="1640"/>
      <c r="BD115" s="1640"/>
      <c r="BG115" s="548"/>
      <c r="BM115" s="1636"/>
      <c r="BN115" s="1636"/>
      <c r="BO115" s="1636"/>
      <c r="BP115" s="1636"/>
      <c r="BQ115" s="1636"/>
      <c r="BR115" s="1164">
        <v>0</v>
      </c>
    </row>
    <row s="1370" customFormat="1" customHeight="1" ht="33.333333333333336" hidden="1">
      <c r="A116" s="2388"/>
      <c r="C116" s="1640"/>
      <c r="D116" s="1642"/>
      <c r="E116" s="550" t="str">
        <f>FHD_NUM_P_70</f>
        <v/>
      </c>
      <c r="F116" s="1881" t="str">
        <f>FHD_P_70</f>
        <v/>
      </c>
      <c r="G116" s="1878" t="s">
        <v>734</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293" t="str">
        <f>FHD_NOTE_P_70</f>
        <v/>
      </c>
      <c r="AW116" s="547"/>
      <c r="AX116" s="1640"/>
      <c r="AY116" s="1640"/>
      <c r="BD116" s="1640"/>
      <c r="BG116" s="548"/>
      <c r="BM116" s="1636"/>
      <c r="BN116" s="1636"/>
      <c r="BO116" s="1636"/>
      <c r="BP116" s="1636"/>
      <c r="BQ116" s="1636"/>
      <c r="BR116" s="1164">
        <v>0</v>
      </c>
    </row>
    <row s="1370" customFormat="1" customHeight="1" ht="33.333333333333336" hidden="1">
      <c r="A117" s="2388"/>
      <c r="C117" s="1640"/>
      <c r="D117" s="1642"/>
      <c r="E117" s="550" t="str">
        <f>FHD_NUM_P_71</f>
        <v/>
      </c>
      <c r="F117" s="1881" t="str">
        <f>FHD_P_71</f>
        <v/>
      </c>
      <c r="G117" s="1878" t="s">
        <v>734</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293" t="str">
        <f>FHD_NOTE_P_71</f>
        <v/>
      </c>
      <c r="AW117" s="547"/>
      <c r="AX117" s="1640"/>
      <c r="AY117" s="1640"/>
      <c r="BD117" s="1640"/>
      <c r="BG117" s="548"/>
      <c r="BM117" s="1636"/>
      <c r="BN117" s="1636"/>
      <c r="BO117" s="1636"/>
      <c r="BP117" s="1636"/>
      <c r="BQ117" s="1636"/>
      <c r="BR117" s="1164">
        <v>0</v>
      </c>
    </row>
    <row customHeight="1" ht="33.333333333333336">
      <c r="D118" s="1642"/>
      <c r="E118" s="550" t="str">
        <f>FHD_NUM_P_72</f>
        <v>12</v>
      </c>
      <c r="F118" s="1881" t="str">
        <f>FHD_P_72</f>
        <v>Среднесписочная численность основного производственного персонала</v>
      </c>
      <c r="G118" s="1877" t="s">
        <v>735</v>
      </c>
      <c r="H118" s="581"/>
      <c r="I118" s="581">
        <v>3.7411</v>
      </c>
      <c r="J118" s="581">
        <v>0</v>
      </c>
      <c r="K118" s="581">
        <v>10.179</v>
      </c>
      <c r="L118" s="581">
        <v>2</v>
      </c>
      <c r="M118" s="581">
        <v>5.0633</v>
      </c>
      <c r="N118" s="581">
        <v>5.052</v>
      </c>
      <c r="O118" s="581">
        <v>3.6952</v>
      </c>
      <c r="P118" s="581">
        <v>3.6404</v>
      </c>
      <c r="Q118" s="581">
        <v>4.9552</v>
      </c>
      <c r="R118" s="581">
        <v>6.8482</v>
      </c>
      <c r="S118" s="581">
        <v>8.763</v>
      </c>
      <c r="T118" s="581">
        <v>5.575</v>
      </c>
      <c r="U118" s="581">
        <v>4.878</v>
      </c>
      <c r="V118" s="581">
        <v>91.4504</v>
      </c>
      <c r="W118" s="581">
        <v>27.9724</v>
      </c>
      <c r="X118" s="581">
        <v>94.1014</v>
      </c>
      <c r="Y118" s="581">
        <v>32.7494</v>
      </c>
      <c r="Z118" s="581">
        <v>8.4756</v>
      </c>
      <c r="AA118" s="581">
        <v>76.704</v>
      </c>
      <c r="AB118" s="581">
        <v>0.9176</v>
      </c>
      <c r="AC118" s="581">
        <v>30.471</v>
      </c>
      <c r="AD118" s="581">
        <v>2.165</v>
      </c>
      <c r="AE118" s="581">
        <v>0.1603</v>
      </c>
      <c r="AF118" s="581">
        <v>1.7821</v>
      </c>
      <c r="AG118" s="581">
        <v>7.5913</v>
      </c>
      <c r="AH118" s="581">
        <v>2.5431</v>
      </c>
      <c r="AI118" s="581">
        <v>10.2329</v>
      </c>
      <c r="AJ118" s="581">
        <v>10.6028</v>
      </c>
      <c r="AK118" s="581">
        <v>4.1915</v>
      </c>
      <c r="AL118" s="581">
        <v>0.2342</v>
      </c>
      <c r="AM118" s="581">
        <v>0</v>
      </c>
      <c r="AN118" s="581">
        <v>0</v>
      </c>
      <c r="AO118" s="581">
        <v>0.0882</v>
      </c>
      <c r="AP118" s="581">
        <v>0.0356</v>
      </c>
      <c r="AQ118" s="581">
        <v>1</v>
      </c>
      <c r="AR118" s="581">
        <v>0.3926</v>
      </c>
      <c r="AS118" s="581">
        <v>0.4158</v>
      </c>
      <c r="AT118" s="581">
        <v>1.1105</v>
      </c>
      <c r="AU118" s="581">
        <v>0.1176</v>
      </c>
      <c r="AV118" s="293" t="str">
        <f>FHD_NOTE_P_72</f>
        <v/>
      </c>
      <c r="AW118" s="547"/>
      <c r="BR118" s="1635">
        <v>19</v>
      </c>
    </row>
    <row customHeight="1" ht="18.75" hidden="1">
      <c r="A119" s="993" t="s">
        <v>736</v>
      </c>
      <c r="D119" s="1642"/>
      <c r="E119" s="550" t="str">
        <f>FHD_NUM_P_73</f>
        <v/>
      </c>
      <c r="F119" s="1881" t="str">
        <f>FHD_P_73</f>
        <v/>
      </c>
      <c r="G119" s="974" t="s">
        <v>735</v>
      </c>
      <c r="H119" s="972"/>
      <c r="I119" s="972"/>
      <c r="J119" s="972"/>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2"/>
      <c r="AK119" s="972"/>
      <c r="AL119" s="972"/>
      <c r="AM119" s="972"/>
      <c r="AN119" s="972"/>
      <c r="AO119" s="972"/>
      <c r="AP119" s="972"/>
      <c r="AQ119" s="972"/>
      <c r="AR119" s="972"/>
      <c r="AS119" s="972"/>
      <c r="AT119" s="972"/>
      <c r="AU119" s="972"/>
      <c r="AV119" s="293" t="str">
        <f>FHD_NOTE_P_73</f>
        <v/>
      </c>
      <c r="AW119" s="547"/>
      <c r="BR119" s="1635">
        <v>0</v>
      </c>
    </row>
    <row customHeight="1" ht="33.75">
      <c r="A120" s="993" t="s">
        <v>737</v>
      </c>
      <c r="D120" s="1642"/>
      <c r="E120" s="550" t="str">
        <f>FHD_NUM_P_74</f>
        <v>13</v>
      </c>
      <c r="F120" s="1881" t="str">
        <f>FHD_P_74</f>
        <v>Удельный расход электрической энергии на подачу воды в сеть</v>
      </c>
      <c r="G120" s="1877" t="s">
        <v>738</v>
      </c>
      <c r="H120" s="581"/>
      <c r="I120" s="581">
        <v>0.5707</v>
      </c>
      <c r="J120" s="581">
        <v>0</v>
      </c>
      <c r="K120" s="581">
        <v>3.8374</v>
      </c>
      <c r="L120" s="581">
        <v>0</v>
      </c>
      <c r="M120" s="581">
        <v>1.1431</v>
      </c>
      <c r="N120" s="581">
        <v>1.4128</v>
      </c>
      <c r="O120" s="581">
        <v>1.244</v>
      </c>
      <c r="P120" s="581">
        <v>0.7507</v>
      </c>
      <c r="Q120" s="581">
        <v>0.7809</v>
      </c>
      <c r="R120" s="581">
        <v>0.6827</v>
      </c>
      <c r="S120" s="581">
        <v>1.7992</v>
      </c>
      <c r="T120" s="581">
        <v>0.6564</v>
      </c>
      <c r="U120" s="581">
        <v>2.1656</v>
      </c>
      <c r="V120" s="581">
        <v>1.2607</v>
      </c>
      <c r="W120" s="581">
        <v>1.2741</v>
      </c>
      <c r="X120" s="581">
        <v>0.7617</v>
      </c>
      <c r="Y120" s="581">
        <v>0.6551</v>
      </c>
      <c r="Z120" s="581">
        <v>0.6605</v>
      </c>
      <c r="AA120" s="581">
        <v>0.5388</v>
      </c>
      <c r="AB120" s="581">
        <v>25.9695</v>
      </c>
      <c r="AC120" s="581">
        <v>0.8697</v>
      </c>
      <c r="AD120" s="581">
        <v>1.4108</v>
      </c>
      <c r="AE120" s="581">
        <v>0.1486</v>
      </c>
      <c r="AF120" s="581">
        <v>3.5302</v>
      </c>
      <c r="AG120" s="581">
        <v>1.504</v>
      </c>
      <c r="AH120" s="581">
        <v>4.8605</v>
      </c>
      <c r="AI120" s="581">
        <v>1.5132</v>
      </c>
      <c r="AJ120" s="581">
        <v>0.8703</v>
      </c>
      <c r="AK120" s="581">
        <v>3.6862</v>
      </c>
      <c r="AL120" s="581">
        <v>0</v>
      </c>
      <c r="AM120" s="581">
        <v>0</v>
      </c>
      <c r="AN120" s="581">
        <v>0</v>
      </c>
      <c r="AO120" s="581">
        <v>0</v>
      </c>
      <c r="AP120" s="581">
        <v>0</v>
      </c>
      <c r="AQ120" s="581">
        <v>0</v>
      </c>
      <c r="AR120" s="581">
        <v>0</v>
      </c>
      <c r="AS120" s="581">
        <v>0</v>
      </c>
      <c r="AT120" s="581">
        <v>0</v>
      </c>
      <c r="AU120" s="581">
        <v>0</v>
      </c>
      <c r="AV120" s="293" t="str">
        <f>FHD_NOTE_P_74</f>
        <v/>
      </c>
      <c r="AW120" s="547"/>
      <c r="BR120" s="1635">
        <v>0</v>
      </c>
    </row>
    <row s="1639" customFormat="1" customHeight="1" ht="18.75">
      <c r="A121" s="2390" t="s">
        <v>739</v>
      </c>
      <c r="B121" s="914"/>
      <c r="C121" s="739"/>
      <c r="D121" s="737"/>
      <c r="E121" s="550" t="str">
        <f>FHD_NUM_P_75</f>
        <v>14</v>
      </c>
      <c r="F121" s="1881" t="str">
        <f>FHD_P_75</f>
        <v>Расход воды на собственные нужды, в том числе:</v>
      </c>
      <c r="G121" s="1877" t="s">
        <v>696</v>
      </c>
      <c r="H121" s="561"/>
      <c r="I121" s="561">
        <v>3</v>
      </c>
      <c r="J121" s="561">
        <v>0</v>
      </c>
      <c r="K121" s="561">
        <v>0</v>
      </c>
      <c r="L121" s="561">
        <v>0</v>
      </c>
      <c r="M121" s="561">
        <v>6.11</v>
      </c>
      <c r="N121" s="561">
        <v>13.69</v>
      </c>
      <c r="O121" s="561">
        <v>4.49</v>
      </c>
      <c r="P121" s="561">
        <v>1.47</v>
      </c>
      <c r="Q121" s="561">
        <v>2.61</v>
      </c>
      <c r="R121" s="561">
        <v>17.85</v>
      </c>
      <c r="S121" s="561">
        <v>20.24</v>
      </c>
      <c r="T121" s="561">
        <v>7.55</v>
      </c>
      <c r="U121" s="561">
        <v>4.57</v>
      </c>
      <c r="V121" s="561">
        <v>1.9</v>
      </c>
      <c r="W121" s="561">
        <v>133.82</v>
      </c>
      <c r="X121" s="561">
        <v>55.65</v>
      </c>
      <c r="Y121" s="561">
        <v>42.3</v>
      </c>
      <c r="Z121" s="561">
        <v>25.35</v>
      </c>
      <c r="AA121" s="561">
        <v>34.12</v>
      </c>
      <c r="AB121" s="561">
        <v>0.03</v>
      </c>
      <c r="AC121" s="561">
        <v>24.68</v>
      </c>
      <c r="AD121" s="561">
        <v>16</v>
      </c>
      <c r="AE121" s="561">
        <v>3.38</v>
      </c>
      <c r="AF121" s="561">
        <v>4.56</v>
      </c>
      <c r="AG121" s="561">
        <v>20.03</v>
      </c>
      <c r="AH121" s="561">
        <v>0</v>
      </c>
      <c r="AI121" s="561">
        <v>10.92</v>
      </c>
      <c r="AJ121" s="561">
        <v>26.39</v>
      </c>
      <c r="AK121" s="561">
        <v>3.8</v>
      </c>
      <c r="AL121" s="561">
        <v>0</v>
      </c>
      <c r="AM121" s="561">
        <v>0</v>
      </c>
      <c r="AN121" s="561">
        <v>0</v>
      </c>
      <c r="AO121" s="561">
        <v>0</v>
      </c>
      <c r="AP121" s="561">
        <v>0</v>
      </c>
      <c r="AQ121" s="561">
        <v>0</v>
      </c>
      <c r="AR121" s="561">
        <v>0</v>
      </c>
      <c r="AS121" s="561">
        <v>0</v>
      </c>
      <c r="AT121" s="561">
        <v>0</v>
      </c>
      <c r="AU121" s="561">
        <v>0</v>
      </c>
      <c r="AV121" s="293" t="str">
        <f>FHD_NOTE_P_75</f>
        <v>Указывается доля общего расхода воды на собственные нужны от объема отпуска воды потребителям.</v>
      </c>
      <c r="AW121" s="738"/>
      <c r="AX121" s="739"/>
      <c r="AY121" s="739"/>
      <c r="AZ121" s="914"/>
      <c r="BA121" s="914"/>
      <c r="BB121" s="914"/>
      <c r="BC121" s="914"/>
      <c r="BD121" s="739"/>
      <c r="BE121" s="914"/>
      <c r="BF121" s="914"/>
      <c r="BG121" s="740"/>
      <c r="BH121" s="914"/>
      <c r="BI121" s="914"/>
      <c r="BJ121" s="914"/>
      <c r="BK121" s="914"/>
      <c r="BL121" s="914"/>
      <c r="BM121" s="741"/>
      <c r="BN121" s="741"/>
      <c r="BO121" s="741"/>
      <c r="BP121" s="741"/>
      <c r="BQ121" s="741"/>
      <c r="BR121" s="743">
        <v>0</v>
      </c>
    </row>
    <row s="1639" customFormat="1" customHeight="1" ht="18.75">
      <c r="A122" s="2390"/>
      <c r="B122" s="914"/>
      <c r="C122" s="739"/>
      <c r="D122" s="737"/>
      <c r="E122" s="550" t="str">
        <f>FHD_NUM_P_76</f>
        <v>14.1</v>
      </c>
      <c r="F122" s="1881" t="str">
        <f>FHD_P_76</f>
        <v>Расход воды на хозяйственно-бытовые нужды</v>
      </c>
      <c r="G122" s="1877" t="s">
        <v>696</v>
      </c>
      <c r="H122" s="561"/>
      <c r="I122" s="561">
        <v>0</v>
      </c>
      <c r="J122" s="561">
        <v>0</v>
      </c>
      <c r="K122" s="561">
        <v>23.9</v>
      </c>
      <c r="L122" s="561">
        <v>0</v>
      </c>
      <c r="M122" s="561">
        <v>0</v>
      </c>
      <c r="N122" s="561">
        <v>0</v>
      </c>
      <c r="O122" s="561">
        <v>0</v>
      </c>
      <c r="P122" s="561">
        <v>0</v>
      </c>
      <c r="Q122" s="561">
        <v>0</v>
      </c>
      <c r="R122" s="561">
        <v>0.01</v>
      </c>
      <c r="S122" s="561">
        <v>0</v>
      </c>
      <c r="T122" s="561">
        <v>0</v>
      </c>
      <c r="U122" s="561">
        <v>0.05</v>
      </c>
      <c r="V122" s="561">
        <v>0.01</v>
      </c>
      <c r="W122" s="561">
        <v>0.09</v>
      </c>
      <c r="X122" s="561">
        <v>0.14</v>
      </c>
      <c r="Y122" s="561">
        <v>0.22</v>
      </c>
      <c r="Z122" s="561">
        <v>0.2</v>
      </c>
      <c r="AA122" s="561">
        <v>0.18</v>
      </c>
      <c r="AB122" s="561">
        <v>0</v>
      </c>
      <c r="AC122" s="561">
        <v>0.01</v>
      </c>
      <c r="AD122" s="561">
        <v>0</v>
      </c>
      <c r="AE122" s="561">
        <v>0</v>
      </c>
      <c r="AF122" s="561">
        <v>0</v>
      </c>
      <c r="AG122" s="561">
        <v>0.06</v>
      </c>
      <c r="AH122" s="561">
        <v>0</v>
      </c>
      <c r="AI122" s="561">
        <v>0.22</v>
      </c>
      <c r="AJ122" s="561">
        <v>0</v>
      </c>
      <c r="AK122" s="561">
        <v>0</v>
      </c>
      <c r="AL122" s="561">
        <v>0</v>
      </c>
      <c r="AM122" s="561">
        <v>0</v>
      </c>
      <c r="AN122" s="561">
        <v>0</v>
      </c>
      <c r="AO122" s="561">
        <v>0</v>
      </c>
      <c r="AP122" s="561">
        <v>0</v>
      </c>
      <c r="AQ122" s="561">
        <v>0</v>
      </c>
      <c r="AR122" s="561">
        <v>0</v>
      </c>
      <c r="AS122" s="561">
        <v>0</v>
      </c>
      <c r="AT122" s="561">
        <v>0</v>
      </c>
      <c r="AU122" s="561">
        <v>0</v>
      </c>
      <c r="AV122" s="293" t="str">
        <f>FHD_NOTE_P_76</f>
        <v>Указывается доля расхода воды на хозяйственно-бытовые нужны от объема отпуска воды потребителям.</v>
      </c>
      <c r="AW122" s="738"/>
      <c r="AX122" s="739"/>
      <c r="AY122" s="739"/>
      <c r="AZ122" s="914"/>
      <c r="BA122" s="914"/>
      <c r="BB122" s="914"/>
      <c r="BC122" s="914"/>
      <c r="BD122" s="739"/>
      <c r="BE122" s="914"/>
      <c r="BF122" s="914"/>
      <c r="BG122" s="740"/>
      <c r="BH122" s="914"/>
      <c r="BI122" s="914"/>
      <c r="BJ122" s="914"/>
      <c r="BK122" s="914"/>
      <c r="BL122" s="914"/>
      <c r="BM122" s="741"/>
      <c r="BN122" s="741"/>
      <c r="BO122" s="741"/>
      <c r="BP122" s="741"/>
      <c r="BQ122" s="741"/>
      <c r="BR122" s="743">
        <v>0</v>
      </c>
    </row>
    <row s="1639" customFormat="1" customHeight="1" ht="52.5">
      <c r="A123" s="2390"/>
      <c r="B123" s="914"/>
      <c r="C123" s="739"/>
      <c r="D123" s="737"/>
      <c r="E123" s="550" t="str">
        <f>FHD_NUM_P_77</f>
        <v>15</v>
      </c>
      <c r="F123" s="1881" t="str">
        <f>FHD_P_77</f>
        <v>Показатель использования производственных объектов (по объему перекачки), в том числе:</v>
      </c>
      <c r="G123" s="1877" t="s">
        <v>696</v>
      </c>
      <c r="H123" s="561"/>
      <c r="I123" s="561">
        <v>0</v>
      </c>
      <c r="J123" s="561">
        <v>0</v>
      </c>
      <c r="K123" s="561">
        <v>0</v>
      </c>
      <c r="L123" s="561">
        <v>0</v>
      </c>
      <c r="M123" s="561">
        <v>0</v>
      </c>
      <c r="N123" s="561">
        <v>0</v>
      </c>
      <c r="O123" s="561">
        <v>0</v>
      </c>
      <c r="P123" s="561">
        <v>0</v>
      </c>
      <c r="Q123" s="561">
        <v>0</v>
      </c>
      <c r="R123" s="561">
        <v>0</v>
      </c>
      <c r="S123" s="561">
        <v>0</v>
      </c>
      <c r="T123" s="561">
        <v>0</v>
      </c>
      <c r="U123" s="561">
        <v>0</v>
      </c>
      <c r="V123" s="561">
        <v>0</v>
      </c>
      <c r="W123" s="561">
        <v>0</v>
      </c>
      <c r="X123" s="561">
        <v>0</v>
      </c>
      <c r="Y123" s="561">
        <v>0</v>
      </c>
      <c r="Z123" s="561">
        <v>0</v>
      </c>
      <c r="AA123" s="561">
        <v>0</v>
      </c>
      <c r="AB123" s="561">
        <v>0</v>
      </c>
      <c r="AC123" s="561">
        <v>0</v>
      </c>
      <c r="AD123" s="561">
        <v>0</v>
      </c>
      <c r="AE123" s="561">
        <v>0</v>
      </c>
      <c r="AF123" s="561">
        <v>0</v>
      </c>
      <c r="AG123" s="561">
        <v>0</v>
      </c>
      <c r="AH123" s="561">
        <v>0</v>
      </c>
      <c r="AI123" s="561">
        <v>0</v>
      </c>
      <c r="AJ123" s="561">
        <v>0</v>
      </c>
      <c r="AK123" s="561">
        <v>0</v>
      </c>
      <c r="AL123" s="561">
        <v>0</v>
      </c>
      <c r="AM123" s="561">
        <v>0</v>
      </c>
      <c r="AN123" s="561">
        <v>0</v>
      </c>
      <c r="AO123" s="561">
        <v>0</v>
      </c>
      <c r="AP123" s="561">
        <v>0</v>
      </c>
      <c r="AQ123" s="561">
        <v>0</v>
      </c>
      <c r="AR123" s="561">
        <v>0</v>
      </c>
      <c r="AS123" s="561">
        <v>0</v>
      </c>
      <c r="AT123" s="561">
        <v>0</v>
      </c>
      <c r="AU123" s="561">
        <v>0</v>
      </c>
      <c r="AV123"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W123" s="738"/>
      <c r="AX123" s="739"/>
      <c r="AY123" s="739"/>
      <c r="AZ123" s="914"/>
      <c r="BA123" s="914"/>
      <c r="BB123" s="914"/>
      <c r="BC123" s="914"/>
      <c r="BD123" s="739"/>
      <c r="BE123" s="914"/>
      <c r="BF123" s="914"/>
      <c r="BG123" s="740"/>
      <c r="BH123" s="914"/>
      <c r="BI123" s="914"/>
      <c r="BJ123" s="914"/>
      <c r="BK123" s="914"/>
      <c r="BL123" s="914"/>
      <c r="BM123" s="741"/>
      <c r="BN123" s="741"/>
      <c r="BO123" s="741"/>
      <c r="BP123" s="741"/>
      <c r="BQ123" s="741"/>
      <c r="BR123" s="743">
        <v>0</v>
      </c>
    </row>
    <row s="1646" customFormat="1" customHeight="1" ht="0.75">
      <c r="A124" s="2390"/>
      <c r="D124" s="552"/>
      <c r="E124" s="1017" t="str">
        <f>E123&amp;".0"</f>
        <v>15.0</v>
      </c>
      <c r="F124" s="1001"/>
      <c r="G124" s="1655"/>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996"/>
      <c r="AN124" s="996"/>
      <c r="AO124" s="996"/>
      <c r="AP124" s="996"/>
      <c r="AQ124" s="996"/>
      <c r="AR124" s="996"/>
      <c r="AS124" s="996"/>
      <c r="AT124" s="996"/>
      <c r="AU124" s="996"/>
      <c r="AV124" s="1000"/>
      <c r="BR124" s="1640">
        <v>0</v>
      </c>
    </row>
    <row s="1639" customFormat="1" customHeight="1" ht="15">
      <c r="A125" s="2390"/>
      <c r="B125" s="914"/>
      <c r="C125" s="739"/>
      <c r="D125" s="750"/>
      <c r="E125" s="977"/>
      <c r="F125" s="978" t="s">
        <v>740</v>
      </c>
      <c r="G125" s="751"/>
      <c r="H125" s="752"/>
      <c r="I125" s="752"/>
      <c r="J125" s="2775"/>
      <c r="K125" s="2776"/>
      <c r="L125" s="2777"/>
      <c r="M125" s="2778"/>
      <c r="N125" s="2779"/>
      <c r="O125" s="2780"/>
      <c r="P125" s="2781"/>
      <c r="Q125" s="2782"/>
      <c r="R125" s="2783"/>
      <c r="S125" s="2784"/>
      <c r="T125" s="2785"/>
      <c r="U125" s="2786"/>
      <c r="V125" s="2787"/>
      <c r="W125" s="2788"/>
      <c r="X125" s="2789"/>
      <c r="Y125" s="2790"/>
      <c r="Z125" s="2791"/>
      <c r="AA125" s="2792"/>
      <c r="AB125" s="2793"/>
      <c r="AC125" s="2794"/>
      <c r="AD125" s="2795"/>
      <c r="AE125" s="2796"/>
      <c r="AF125" s="2797"/>
      <c r="AG125" s="2798"/>
      <c r="AH125" s="2799"/>
      <c r="AI125" s="2800"/>
      <c r="AJ125" s="2801"/>
      <c r="AK125" s="2802"/>
      <c r="AL125" s="2803"/>
      <c r="AM125" s="2804"/>
      <c r="AN125" s="2806"/>
      <c r="AO125" s="2807"/>
      <c r="AP125" s="2809"/>
      <c r="AQ125" s="2811"/>
      <c r="AR125" s="2812"/>
      <c r="AS125" s="2813"/>
      <c r="AT125" s="2814"/>
      <c r="AU125" s="2815"/>
      <c r="AV125" s="1007" t="s">
        <v>741</v>
      </c>
      <c r="AW125" s="738"/>
      <c r="AX125" s="739"/>
      <c r="AY125" s="739"/>
      <c r="AZ125" s="914"/>
      <c r="BA125" s="914"/>
      <c r="BB125" s="914"/>
      <c r="BC125" s="914"/>
      <c r="BD125" s="739"/>
      <c r="BE125" s="914"/>
      <c r="BF125" s="914"/>
      <c r="BG125" s="740"/>
      <c r="BH125" s="914"/>
      <c r="BI125" s="914"/>
      <c r="BJ125" s="914"/>
      <c r="BK125" s="914"/>
      <c r="BL125" s="914"/>
      <c r="BM125" s="741"/>
      <c r="BN125" s="741"/>
      <c r="BO125" s="741"/>
      <c r="BP125" s="741"/>
      <c r="BQ125" s="741"/>
      <c r="BR125" s="743">
        <v>0</v>
      </c>
    </row>
    <row customHeight="1" ht="22.5" hidden="1">
      <c r="A126" s="2388" t="s">
        <v>742</v>
      </c>
      <c r="D126" s="1642"/>
      <c r="E126" s="550" t="str">
        <f>FHD_NUM_P_78</f>
        <v/>
      </c>
      <c r="F126" s="1881" t="str">
        <f>FHD_P_78</f>
        <v/>
      </c>
      <c r="G126" s="1878" t="s">
        <v>698</v>
      </c>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293" t="str">
        <f>FHD_NOTE_P_78</f>
        <v/>
      </c>
      <c r="AW126" s="547"/>
      <c r="BR126" s="1635">
        <v>0</v>
      </c>
    </row>
    <row s="1646" customFormat="1" customHeight="1" ht="0.75" hidden="1">
      <c r="A127" s="2388"/>
      <c r="D127" s="552"/>
      <c r="E127" s="1017" t="str">
        <f>E126&amp;".0"</f>
        <v>.0</v>
      </c>
      <c r="F127" s="1001"/>
      <c r="G127" s="1655"/>
      <c r="H127" s="996"/>
      <c r="I127" s="996"/>
      <c r="J127" s="996"/>
      <c r="K127" s="996"/>
      <c r="L127" s="996"/>
      <c r="M127" s="996"/>
      <c r="N127" s="996"/>
      <c r="O127" s="996"/>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c r="AK127" s="996"/>
      <c r="AL127" s="996"/>
      <c r="AM127" s="996"/>
      <c r="AN127" s="996"/>
      <c r="AO127" s="996"/>
      <c r="AP127" s="996"/>
      <c r="AQ127" s="996"/>
      <c r="AR127" s="996"/>
      <c r="AS127" s="996"/>
      <c r="AT127" s="996"/>
      <c r="AU127" s="996"/>
      <c r="AV127" s="1000"/>
      <c r="BR127" s="1640">
        <v>0</v>
      </c>
    </row>
    <row customHeight="1" ht="15" hidden="1">
      <c r="A128" s="2388"/>
      <c r="D128" s="1637"/>
      <c r="E128" s="574"/>
      <c r="F128" s="1172" t="s">
        <v>732</v>
      </c>
      <c r="G128" s="576"/>
      <c r="H128" s="577"/>
      <c r="I128" s="577"/>
      <c r="J128" s="2816"/>
      <c r="K128" s="2817"/>
      <c r="L128" s="2818"/>
      <c r="M128" s="2819"/>
      <c r="N128" s="2820"/>
      <c r="O128" s="2821"/>
      <c r="P128" s="2822"/>
      <c r="Q128" s="2823"/>
      <c r="R128" s="2824"/>
      <c r="S128" s="2825"/>
      <c r="T128" s="2826"/>
      <c r="U128" s="2827"/>
      <c r="V128" s="2828"/>
      <c r="W128" s="2829"/>
      <c r="X128" s="2830"/>
      <c r="Y128" s="2831"/>
      <c r="Z128" s="2832"/>
      <c r="AA128" s="2833"/>
      <c r="AB128" s="2834"/>
      <c r="AC128" s="2835"/>
      <c r="AD128" s="2836"/>
      <c r="AE128" s="2837"/>
      <c r="AF128" s="2838"/>
      <c r="AG128" s="2839"/>
      <c r="AH128" s="2840"/>
      <c r="AI128" s="2841"/>
      <c r="AJ128" s="2842"/>
      <c r="AK128" s="2843"/>
      <c r="AL128" s="2844"/>
      <c r="AM128" s="2845"/>
      <c r="AN128" s="2847"/>
      <c r="AO128" s="2848"/>
      <c r="AP128" s="2850"/>
      <c r="AQ128" s="2852"/>
      <c r="AR128" s="2853"/>
      <c r="AS128" s="2854"/>
      <c r="AT128" s="2855"/>
      <c r="AU128" s="2856"/>
      <c r="AV128" s="1008" t="s">
        <v>743</v>
      </c>
      <c r="AW128" s="547"/>
      <c r="BR128" s="1635">
        <v>0</v>
      </c>
    </row>
    <row customHeight="1" ht="22.5" hidden="1">
      <c r="A129" s="2388"/>
      <c r="D129" s="1642"/>
      <c r="E129" s="550" t="str">
        <f>FHD_NUM_P_79</f>
        <v/>
      </c>
      <c r="F129" s="1881" t="str">
        <f>FHD_P_79</f>
        <v/>
      </c>
      <c r="G129" s="1879" t="s">
        <v>700</v>
      </c>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293" t="str">
        <f>FHD_NOTE_P_79</f>
        <v/>
      </c>
      <c r="AW129" s="547"/>
      <c r="BR129" s="1635">
        <v>0</v>
      </c>
    </row>
    <row s="1646" customFormat="1" customHeight="1" ht="0.75" hidden="1">
      <c r="A130" s="2388"/>
      <c r="D130" s="552"/>
      <c r="E130" s="1017" t="str">
        <f>E129&amp;".0"</f>
        <v>.0</v>
      </c>
      <c r="F130" s="1002"/>
      <c r="G130" s="1655"/>
      <c r="H130" s="996"/>
      <c r="I130" s="996"/>
      <c r="J130" s="996"/>
      <c r="K130" s="996"/>
      <c r="L130" s="996"/>
      <c r="M130" s="996"/>
      <c r="N130" s="996"/>
      <c r="O130" s="996"/>
      <c r="P130" s="996"/>
      <c r="Q130" s="996"/>
      <c r="R130" s="996"/>
      <c r="S130" s="996"/>
      <c r="T130" s="996"/>
      <c r="U130" s="996"/>
      <c r="V130" s="996"/>
      <c r="W130" s="996"/>
      <c r="X130" s="996"/>
      <c r="Y130" s="996"/>
      <c r="Z130" s="996"/>
      <c r="AA130" s="996"/>
      <c r="AB130" s="996"/>
      <c r="AC130" s="996"/>
      <c r="AD130" s="996"/>
      <c r="AE130" s="996"/>
      <c r="AF130" s="996"/>
      <c r="AG130" s="996"/>
      <c r="AH130" s="996"/>
      <c r="AI130" s="996"/>
      <c r="AJ130" s="996"/>
      <c r="AK130" s="996"/>
      <c r="AL130" s="996"/>
      <c r="AM130" s="996"/>
      <c r="AN130" s="996"/>
      <c r="AO130" s="996"/>
      <c r="AP130" s="996"/>
      <c r="AQ130" s="996"/>
      <c r="AR130" s="996"/>
      <c r="AS130" s="996"/>
      <c r="AT130" s="996"/>
      <c r="AU130" s="996"/>
      <c r="AV130" s="1000"/>
      <c r="BR130" s="1640">
        <v>0</v>
      </c>
    </row>
    <row customHeight="1" ht="15" hidden="1">
      <c r="A131" s="2388"/>
      <c r="D131" s="1637"/>
      <c r="E131" s="574"/>
      <c r="F131" s="1172" t="s">
        <v>732</v>
      </c>
      <c r="G131" s="576"/>
      <c r="H131" s="577"/>
      <c r="I131" s="577"/>
      <c r="J131" s="2857"/>
      <c r="K131" s="2858"/>
      <c r="L131" s="2859"/>
      <c r="M131" s="2860"/>
      <c r="N131" s="2861"/>
      <c r="O131" s="2862"/>
      <c r="P131" s="2863"/>
      <c r="Q131" s="2864"/>
      <c r="R131" s="2865"/>
      <c r="S131" s="2866"/>
      <c r="T131" s="2867"/>
      <c r="U131" s="2868"/>
      <c r="V131" s="2869"/>
      <c r="W131" s="2870"/>
      <c r="X131" s="2871"/>
      <c r="Y131" s="2872"/>
      <c r="Z131" s="2873"/>
      <c r="AA131" s="2874"/>
      <c r="AB131" s="2875"/>
      <c r="AC131" s="2876"/>
      <c r="AD131" s="2877"/>
      <c r="AE131" s="2878"/>
      <c r="AF131" s="2879"/>
      <c r="AG131" s="2880"/>
      <c r="AH131" s="2881"/>
      <c r="AI131" s="2882"/>
      <c r="AJ131" s="2883"/>
      <c r="AK131" s="2884"/>
      <c r="AL131" s="2885"/>
      <c r="AM131" s="2886"/>
      <c r="AN131" s="2888"/>
      <c r="AO131" s="2889"/>
      <c r="AP131" s="2891"/>
      <c r="AQ131" s="2893"/>
      <c r="AR131" s="2894"/>
      <c r="AS131" s="2895"/>
      <c r="AT131" s="2896"/>
      <c r="AU131" s="2897"/>
      <c r="AV131" s="1008" t="s">
        <v>744</v>
      </c>
      <c r="AW131" s="547"/>
      <c r="BR131" s="1635">
        <v>0</v>
      </c>
    </row>
    <row customHeight="1" ht="22.5" hidden="1">
      <c r="A132" s="2388"/>
      <c r="D132" s="1642"/>
      <c r="E132" s="550" t="str">
        <f>FHD_NUM_P_80</f>
        <v/>
      </c>
      <c r="F132" s="1881" t="str">
        <f>FHD_P_80</f>
        <v/>
      </c>
      <c r="G132" s="1879" t="s">
        <v>745</v>
      </c>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293" t="str">
        <f>FHD_NOTE_P_80</f>
        <v/>
      </c>
      <c r="AW132" s="547"/>
      <c r="BR132" s="1635">
        <v>0</v>
      </c>
    </row>
    <row customHeight="1" ht="18.75" hidden="1">
      <c r="A133" s="2388"/>
      <c r="D133" s="1642"/>
      <c r="E133" s="550" t="str">
        <f>FHD_NUM_P_81</f>
        <v/>
      </c>
      <c r="F133" s="1881" t="str">
        <f>FHD_P_81</f>
        <v/>
      </c>
      <c r="G133" s="1879" t="s">
        <v>746</v>
      </c>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293" t="str">
        <f>FHD_NOTE_P_81</f>
        <v/>
      </c>
      <c r="AW133" s="547"/>
      <c r="BR133" s="1635">
        <v>0</v>
      </c>
    </row>
    <row customHeight="1" ht="18.75" hidden="1">
      <c r="A134" s="2388"/>
      <c r="C134" s="1640" t="s">
        <v>724</v>
      </c>
      <c r="D134" s="1642"/>
      <c r="E134" s="550" t="str">
        <f>FHD_NUM_P_82</f>
        <v/>
      </c>
      <c r="F134" s="1881" t="str">
        <f>FHD_P_82</f>
        <v/>
      </c>
      <c r="G134" s="1879" t="s">
        <v>444</v>
      </c>
      <c r="H134" s="405"/>
      <c r="I134" s="405"/>
      <c r="J134" s="822"/>
      <c r="K134" s="822"/>
      <c r="L134" s="822"/>
      <c r="M134" s="822"/>
      <c r="N134" s="822"/>
      <c r="O134" s="822"/>
      <c r="P134" s="822"/>
      <c r="Q134" s="822"/>
      <c r="R134" s="822"/>
      <c r="S134" s="822"/>
      <c r="T134" s="822"/>
      <c r="U134" s="822"/>
      <c r="V134" s="822"/>
      <c r="W134" s="822"/>
      <c r="X134" s="822"/>
      <c r="Y134" s="822"/>
      <c r="Z134" s="822"/>
      <c r="AA134" s="822"/>
      <c r="AB134" s="822"/>
      <c r="AC134" s="822"/>
      <c r="AD134" s="822"/>
      <c r="AE134" s="822"/>
      <c r="AF134" s="822"/>
      <c r="AG134" s="822"/>
      <c r="AH134" s="822"/>
      <c r="AI134" s="822"/>
      <c r="AJ134" s="822"/>
      <c r="AK134" s="822"/>
      <c r="AL134" s="822"/>
      <c r="AM134" s="822"/>
      <c r="AN134" s="822"/>
      <c r="AO134" s="822"/>
      <c r="AP134" s="822"/>
      <c r="AQ134" s="822"/>
      <c r="AR134" s="822"/>
      <c r="AS134" s="822"/>
      <c r="AT134" s="822"/>
      <c r="AU134" s="822"/>
      <c r="AV134" s="293" t="str">
        <f>FHD_NOTE_P_82</f>
        <v/>
      </c>
      <c r="AW134" s="547"/>
      <c r="BR134" s="1635">
        <v>0</v>
      </c>
    </row>
    <row customHeight="1" ht="18.75" hidden="1">
      <c r="A135" s="2388"/>
      <c r="C135" s="1640" t="s">
        <v>724</v>
      </c>
      <c r="D135" s="1642"/>
      <c r="E135" s="550" t="str">
        <f>FHD_NUM_P_83</f>
        <v/>
      </c>
      <c r="F135" s="1528" t="str">
        <f>FHD_P_83</f>
        <v/>
      </c>
      <c r="G135" s="1879" t="s">
        <v>444</v>
      </c>
      <c r="H135" s="405"/>
      <c r="I135" s="405"/>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822"/>
      <c r="AM135" s="822"/>
      <c r="AN135" s="822"/>
      <c r="AO135" s="822"/>
      <c r="AP135" s="822"/>
      <c r="AQ135" s="822"/>
      <c r="AR135" s="822"/>
      <c r="AS135" s="822"/>
      <c r="AT135" s="822"/>
      <c r="AU135" s="822"/>
      <c r="AV135" s="293" t="str">
        <f>FHD_NOTE_P_83</f>
        <v/>
      </c>
      <c r="AW135" s="547"/>
      <c r="BR135" s="1635">
        <v>0</v>
      </c>
    </row>
    <row customHeight="1" ht="18.75" hidden="1">
      <c r="A136" s="2388"/>
      <c r="C136" s="1640" t="s">
        <v>724</v>
      </c>
      <c r="D136" s="1642"/>
      <c r="E136" s="550" t="str">
        <f>FHD_NUM_P_84</f>
        <v/>
      </c>
      <c r="F136" s="1528" t="str">
        <f>FHD_P_84</f>
        <v/>
      </c>
      <c r="G136" s="1879" t="s">
        <v>444</v>
      </c>
      <c r="H136" s="405"/>
      <c r="I136" s="405"/>
      <c r="J136" s="822"/>
      <c r="K136" s="822"/>
      <c r="L136" s="822"/>
      <c r="M136" s="822"/>
      <c r="N136" s="822"/>
      <c r="O136" s="822"/>
      <c r="P136" s="822"/>
      <c r="Q136" s="822"/>
      <c r="R136" s="822"/>
      <c r="S136" s="822"/>
      <c r="T136" s="822"/>
      <c r="U136" s="822"/>
      <c r="V136" s="822"/>
      <c r="W136" s="822"/>
      <c r="X136" s="822"/>
      <c r="Y136" s="822"/>
      <c r="Z136" s="822"/>
      <c r="AA136" s="822"/>
      <c r="AB136" s="822"/>
      <c r="AC136" s="822"/>
      <c r="AD136" s="822"/>
      <c r="AE136" s="822"/>
      <c r="AF136" s="822"/>
      <c r="AG136" s="822"/>
      <c r="AH136" s="822"/>
      <c r="AI136" s="822"/>
      <c r="AJ136" s="822"/>
      <c r="AK136" s="822"/>
      <c r="AL136" s="822"/>
      <c r="AM136" s="822"/>
      <c r="AN136" s="822"/>
      <c r="AO136" s="822"/>
      <c r="AP136" s="822"/>
      <c r="AQ136" s="822"/>
      <c r="AR136" s="822"/>
      <c r="AS136" s="822"/>
      <c r="AT136" s="822"/>
      <c r="AU136" s="822"/>
      <c r="AV136" s="293" t="str">
        <f>FHD_NOTE_P_84</f>
        <v/>
      </c>
      <c r="AW136" s="547"/>
      <c r="BR136" s="1635">
        <v>0</v>
      </c>
    </row>
    <row customHeight="1" ht="11.549999999999999">
      <c r="D137" s="1642"/>
      <c r="J137" s="1639"/>
      <c r="K137" s="1639"/>
      <c r="L137" s="1639"/>
      <c r="M137" s="1639"/>
      <c r="N137" s="1639"/>
      <c r="O137" s="1639"/>
      <c r="P137" s="1639"/>
      <c r="Q137" s="1639"/>
      <c r="R137" s="1639"/>
      <c r="S137" s="1639"/>
      <c r="T137" s="1639"/>
      <c r="U137" s="1639"/>
      <c r="V137" s="1639"/>
      <c r="W137" s="1639"/>
      <c r="X137" s="1639"/>
      <c r="Y137" s="1639"/>
      <c r="Z137" s="1639"/>
      <c r="AA137" s="1639"/>
      <c r="AB137" s="1639"/>
      <c r="AC137" s="1639"/>
      <c r="AD137" s="1639"/>
      <c r="AE137" s="1639"/>
      <c r="AF137" s="1639"/>
      <c r="AG137" s="1639"/>
      <c r="AH137" s="1639"/>
      <c r="AI137" s="1639"/>
      <c r="AJ137" s="1639"/>
      <c r="AK137" s="1639"/>
      <c r="AL137" s="1639"/>
      <c r="AM137" s="1639"/>
      <c r="AN137" s="1639"/>
      <c r="AO137" s="1639"/>
      <c r="AP137" s="1639"/>
      <c r="AQ137" s="1639"/>
      <c r="AR137" s="1639"/>
      <c r="AS137" s="1639"/>
      <c r="AT137" s="1639"/>
      <c r="AU137" s="1639"/>
      <c r="BR137" s="1635">
        <v>11</v>
      </c>
    </row>
    <row customHeight="1" ht="13.5">
      <c r="D138" s="1642"/>
      <c r="E138" s="340"/>
      <c r="F138" s="373"/>
      <c r="G138" s="373"/>
      <c r="H138" s="373"/>
      <c r="I138" s="1651"/>
      <c r="J138" s="1690"/>
      <c r="K138" s="1690"/>
      <c r="L138" s="1690"/>
      <c r="M138" s="1690"/>
      <c r="N138" s="1690"/>
      <c r="O138" s="1690"/>
      <c r="P138" s="1690"/>
      <c r="Q138" s="1690"/>
      <c r="R138" s="1690"/>
      <c r="S138" s="1690"/>
      <c r="T138" s="1690"/>
      <c r="U138" s="1690"/>
      <c r="V138" s="1690"/>
      <c r="W138" s="1690"/>
      <c r="X138" s="1690"/>
      <c r="Y138" s="1690"/>
      <c r="Z138" s="1690"/>
      <c r="AA138" s="1690"/>
      <c r="AB138" s="1690"/>
      <c r="AC138" s="1690"/>
      <c r="AD138" s="1690"/>
      <c r="AE138" s="1690"/>
      <c r="AF138" s="1690"/>
      <c r="AG138" s="1690"/>
      <c r="AH138" s="1690"/>
      <c r="AI138" s="1690"/>
      <c r="AJ138" s="1690"/>
      <c r="AK138" s="1690"/>
      <c r="AL138" s="1690"/>
      <c r="AM138" s="1690"/>
      <c r="AN138" s="1690"/>
      <c r="AO138" s="1690"/>
      <c r="AP138" s="1690"/>
      <c r="AQ138" s="1690"/>
      <c r="AR138" s="1690"/>
      <c r="AS138" s="1690"/>
      <c r="AT138" s="1690"/>
      <c r="AU138" s="1690"/>
      <c r="AV138" s="585"/>
      <c r="BR138" s="1635">
        <v>13</v>
      </c>
    </row>
    <row s="1645" customFormat="1" customHeight="1" ht="11.549999999999999">
      <c r="A139" s="991"/>
      <c r="B139" s="1640"/>
      <c r="C139" s="1640"/>
      <c r="D139" s="355"/>
      <c r="F139" s="1644"/>
      <c r="G139" s="1635"/>
      <c r="H139" s="1635"/>
      <c r="I139" s="1635"/>
      <c r="J139" s="1639"/>
      <c r="K139" s="1639"/>
      <c r="L139" s="1639"/>
      <c r="M139" s="1639"/>
      <c r="N139" s="1639"/>
      <c r="O139" s="1639"/>
      <c r="P139" s="1639"/>
      <c r="Q139" s="1639"/>
      <c r="R139" s="1639"/>
      <c r="S139" s="1639"/>
      <c r="T139" s="1639"/>
      <c r="U139" s="1639"/>
      <c r="V139" s="1639"/>
      <c r="W139" s="1639"/>
      <c r="X139" s="1639"/>
      <c r="Y139" s="1639"/>
      <c r="Z139" s="1639"/>
      <c r="AA139" s="1639"/>
      <c r="AB139" s="1639"/>
      <c r="AC139" s="1639"/>
      <c r="AD139" s="1639"/>
      <c r="AE139" s="1639"/>
      <c r="AF139" s="1639"/>
      <c r="AG139" s="1639"/>
      <c r="AH139" s="1639"/>
      <c r="AI139" s="1639"/>
      <c r="AJ139" s="1639"/>
      <c r="AK139" s="1639"/>
      <c r="AL139" s="1639"/>
      <c r="AM139" s="1639"/>
      <c r="AN139" s="1639"/>
      <c r="AO139" s="1639"/>
      <c r="AP139" s="1639"/>
      <c r="AQ139" s="1639"/>
      <c r="AR139" s="1639"/>
      <c r="AS139" s="1639"/>
      <c r="AT139" s="1639"/>
      <c r="AU139" s="1639"/>
      <c r="AW139" s="1164"/>
      <c r="AX139" s="1640"/>
      <c r="AY139" s="1640"/>
      <c r="AZ139" s="1164"/>
      <c r="BA139" s="1164"/>
      <c r="BB139" s="1164"/>
      <c r="BC139" s="1164"/>
      <c r="BD139" s="1640"/>
      <c r="BE139" s="1164"/>
      <c r="BF139" s="1164"/>
      <c r="BG139" s="548"/>
      <c r="BH139" s="1164"/>
      <c r="BI139" s="1164"/>
      <c r="BJ139" s="1164"/>
      <c r="BK139" s="1164"/>
      <c r="BL139" s="1164"/>
      <c r="BM139" s="1636"/>
      <c r="BN139" s="570"/>
      <c r="BO139" s="570"/>
      <c r="BP139" s="570"/>
      <c r="BQ139" s="570"/>
      <c r="BR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W140" s="1164"/>
      <c r="AX140" s="1640"/>
      <c r="AY140" s="1640"/>
      <c r="AZ140" s="1164"/>
      <c r="BA140" s="1164"/>
      <c r="BB140" s="1164"/>
      <c r="BC140" s="1164"/>
      <c r="BD140" s="1640"/>
      <c r="BE140" s="1164"/>
      <c r="BF140" s="1164"/>
      <c r="BG140" s="548"/>
      <c r="BH140" s="1164"/>
      <c r="BI140" s="1164"/>
      <c r="BJ140" s="1164"/>
      <c r="BK140" s="1164"/>
      <c r="BL140" s="1164"/>
      <c r="BM140" s="1636"/>
      <c r="BN140" s="570"/>
      <c r="BO140" s="570"/>
      <c r="BP140" s="570"/>
      <c r="BQ140" s="570"/>
      <c r="BR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W141" s="1164"/>
      <c r="AX141" s="1640"/>
      <c r="AY141" s="1640"/>
      <c r="AZ141" s="1164"/>
      <c r="BA141" s="1164"/>
      <c r="BB141" s="1164"/>
      <c r="BC141" s="1164"/>
      <c r="BD141" s="1640"/>
      <c r="BE141" s="1164"/>
      <c r="BF141" s="1164"/>
      <c r="BG141" s="548"/>
      <c r="BH141" s="1164"/>
      <c r="BI141" s="1164"/>
      <c r="BJ141" s="1164"/>
      <c r="BK141" s="1164"/>
      <c r="BL141" s="1164"/>
      <c r="BM141" s="1636"/>
      <c r="BN141" s="570"/>
      <c r="BO141" s="570"/>
      <c r="BP141" s="570"/>
      <c r="BQ141" s="570"/>
      <c r="BR141" s="1645">
        <v>11</v>
      </c>
    </row>
    <row s="1645" customFormat="1" customHeight="1" ht="11.549999999999999">
      <c r="A142" s="991"/>
      <c r="B142" s="1640"/>
      <c r="C142" s="1640"/>
      <c r="D142" s="355"/>
      <c r="H142" s="570" t="str">
        <f>IF(H30-H31&lt;&gt;H78,"WARNING","")</f>
        <v/>
      </c>
      <c r="I142" s="570" t="str">
        <f>IF(I30-I31&lt;&gt;I78,"WARNING","")</f>
        <v>WARNING</v>
      </c>
      <c r="J142" s="626" t="str">
        <f>IF(J30-J31&lt;&gt;J78,"WARNING","")</f>
        <v>WARNING</v>
      </c>
      <c r="K142" s="626" t="str">
        <f>IF(K30-K31&lt;&gt;K78,"WARNING","")</f>
        <v>WARNING</v>
      </c>
      <c r="L142" s="626" t="str">
        <f>IF(L30-L31&lt;&gt;L78,"WARNING","")</f>
        <v>WARNING</v>
      </c>
      <c r="M142" s="626" t="str">
        <f>IF(M30-M31&lt;&gt;M78,"WARNING","")</f>
        <v>WARNING</v>
      </c>
      <c r="N142" s="626" t="str">
        <f>IF(N30-N31&lt;&gt;N78,"WARNING","")</f>
        <v>WARNING</v>
      </c>
      <c r="O142" s="626" t="str">
        <f>IF(O30-O31&lt;&gt;O78,"WARNING","")</f>
        <v>WARNING</v>
      </c>
      <c r="P142" s="626" t="str">
        <f>IF(P30-P31&lt;&gt;P78,"WARNING","")</f>
        <v>WARNING</v>
      </c>
      <c r="Q142" s="626" t="str">
        <f>IF(Q30-Q31&lt;&gt;Q78,"WARNING","")</f>
        <v>WARNING</v>
      </c>
      <c r="R142" s="626" t="str">
        <f>IF(R30-R31&lt;&gt;R78,"WARNING","")</f>
        <v>WARNING</v>
      </c>
      <c r="S142" s="626" t="str">
        <f>IF(S30-S31&lt;&gt;S78,"WARNING","")</f>
        <v>WARNING</v>
      </c>
      <c r="T142" s="626" t="str">
        <f>IF(T30-T31&lt;&gt;T78,"WARNING","")</f>
        <v>WARNING</v>
      </c>
      <c r="U142" s="626" t="str">
        <f>IF(U30-U31&lt;&gt;U78,"WARNING","")</f>
        <v>WARNING</v>
      </c>
      <c r="V142" s="626" t="str">
        <f>IF(V30-V31&lt;&gt;V78,"WARNING","")</f>
        <v>WARNING</v>
      </c>
      <c r="W142" s="626" t="str">
        <f>IF(W30-W31&lt;&gt;W78,"WARNING","")</f>
        <v>WARNING</v>
      </c>
      <c r="X142" s="626" t="str">
        <f>IF(X30-X31&lt;&gt;X78,"WARNING","")</f>
        <v>WARNING</v>
      </c>
      <c r="Y142" s="626" t="str">
        <f>IF(Y30-Y31&lt;&gt;Y78,"WARNING","")</f>
        <v>WARNING</v>
      </c>
      <c r="Z142" s="626" t="str">
        <f>IF(Z30-Z31&lt;&gt;Z78,"WARNING","")</f>
        <v>WARNING</v>
      </c>
      <c r="AA142" s="626" t="str">
        <f>IF(AA30-AA31&lt;&gt;AA78,"WARNING","")</f>
        <v>WARNING</v>
      </c>
      <c r="AB142" s="626" t="str">
        <f>IF(AB30-AB31&lt;&gt;AB78,"WARNING","")</f>
        <v>WARNING</v>
      </c>
      <c r="AC142" s="626" t="str">
        <f>IF(AC30-AC31&lt;&gt;AC78,"WARNING","")</f>
        <v>WARNING</v>
      </c>
      <c r="AD142" s="626" t="str">
        <f>IF(AD30-AD31&lt;&gt;AD78,"WARNING","")</f>
        <v>WARNING</v>
      </c>
      <c r="AE142" s="626" t="str">
        <f>IF(AE30-AE31&lt;&gt;AE78,"WARNING","")</f>
        <v>WARNING</v>
      </c>
      <c r="AF142" s="626" t="str">
        <f>IF(AF30-AF31&lt;&gt;AF78,"WARNING","")</f>
        <v>WARNING</v>
      </c>
      <c r="AG142" s="626" t="str">
        <f>IF(AG30-AG31&lt;&gt;AG78,"WARNING","")</f>
        <v>WARNING</v>
      </c>
      <c r="AH142" s="626" t="str">
        <f>IF(AH30-AH31&lt;&gt;AH78,"WARNING","")</f>
        <v>WARNING</v>
      </c>
      <c r="AI142" s="626" t="str">
        <f>IF(AI30-AI31&lt;&gt;AI78,"WARNING","")</f>
        <v>WARNING</v>
      </c>
      <c r="AJ142" s="626" t="str">
        <f>IF(AJ30-AJ31&lt;&gt;AJ78,"WARNING","")</f>
        <v>WARNING</v>
      </c>
      <c r="AK142" s="626" t="str">
        <f>IF(AK30-AK31&lt;&gt;AK78,"WARNING","")</f>
        <v>WARNING</v>
      </c>
      <c r="AL142" s="626" t="str">
        <f>IF(AL30-AL31&lt;&gt;AL78,"WARNING","")</f>
        <v>WARNING</v>
      </c>
      <c r="AM142" s="626" t="str">
        <f>IF(AM30-AM31&lt;&gt;AM78,"WARNING","")</f>
        <v>WARNING</v>
      </c>
      <c r="AN142" s="626" t="str">
        <f>IF(AN30-AN31&lt;&gt;AN78,"WARNING","")</f>
        <v>WARNING</v>
      </c>
      <c r="AO142" s="626" t="str">
        <f>IF(AO30-AO31&lt;&gt;AO78,"WARNING","")</f>
        <v/>
      </c>
      <c r="AP142" s="626" t="str">
        <f>IF(AP30-AP31&lt;&gt;AP78,"WARNING","")</f>
        <v>WARNING</v>
      </c>
      <c r="AQ142" s="626" t="str">
        <f>IF(AQ30-AQ31&lt;&gt;AQ78,"WARNING","")</f>
        <v>WARNING</v>
      </c>
      <c r="AR142" s="626" t="str">
        <f>IF(AR30-AR31&lt;&gt;AR78,"WARNING","")</f>
        <v>WARNING</v>
      </c>
      <c r="AS142" s="626" t="str">
        <f>IF(AS30-AS31&lt;&gt;AS78,"WARNING","")</f>
        <v>WARNING</v>
      </c>
      <c r="AT142" s="626" t="str">
        <f>IF(AT30-AT31&lt;&gt;AT78,"WARNING","")</f>
        <v>WARNING</v>
      </c>
      <c r="AU142" s="626" t="str">
        <f>IF(AU30-AU31&lt;&gt;AU78,"WARNING","")</f>
        <v>WARNING</v>
      </c>
      <c r="AW142" s="1164"/>
      <c r="AX142" s="1640"/>
      <c r="AY142" s="1640"/>
      <c r="AZ142" s="1164"/>
      <c r="BA142" s="1164"/>
      <c r="BB142" s="1164"/>
      <c r="BC142" s="1164"/>
      <c r="BD142" s="1640"/>
      <c r="BE142" s="1164"/>
      <c r="BF142" s="1164"/>
      <c r="BG142" s="548"/>
      <c r="BH142" s="1164"/>
      <c r="BI142" s="1164"/>
      <c r="BJ142" s="1164"/>
      <c r="BK142" s="1164"/>
      <c r="BL142" s="1164"/>
      <c r="BM142" s="1636"/>
      <c r="BN142" s="570"/>
      <c r="BO142" s="570"/>
      <c r="BP142" s="570"/>
      <c r="BQ142" s="570"/>
      <c r="BR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W143" s="1164"/>
      <c r="AX143" s="1640"/>
      <c r="AY143" s="1640"/>
      <c r="AZ143" s="1164"/>
      <c r="BA143" s="1164"/>
      <c r="BB143" s="1164"/>
      <c r="BC143" s="1164"/>
      <c r="BD143" s="1640"/>
      <c r="BE143" s="1164"/>
      <c r="BF143" s="1164"/>
      <c r="BG143" s="548"/>
      <c r="BH143" s="1164"/>
      <c r="BI143" s="1164"/>
      <c r="BJ143" s="1164"/>
      <c r="BK143" s="1164"/>
      <c r="BL143" s="1164"/>
      <c r="BM143" s="1636"/>
      <c r="BN143" s="570"/>
      <c r="BO143" s="570"/>
      <c r="BP143" s="570"/>
      <c r="BQ143" s="570"/>
      <c r="BR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W144" s="1164"/>
      <c r="AX144" s="1640"/>
      <c r="AY144" s="1640"/>
      <c r="AZ144" s="1164"/>
      <c r="BA144" s="1164"/>
      <c r="BB144" s="1164"/>
      <c r="BC144" s="1164"/>
      <c r="BD144" s="1640"/>
      <c r="BE144" s="1164"/>
      <c r="BF144" s="1164"/>
      <c r="BG144" s="548"/>
      <c r="BH144" s="1164"/>
      <c r="BI144" s="1164"/>
      <c r="BJ144" s="1164"/>
      <c r="BK144" s="1164"/>
      <c r="BL144" s="1164"/>
      <c r="BM144" s="1636"/>
      <c r="BN144" s="570"/>
      <c r="BO144" s="570"/>
      <c r="BP144" s="570"/>
      <c r="BQ144" s="570"/>
      <c r="BR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W145" s="1164"/>
      <c r="AX145" s="1640"/>
      <c r="AY145" s="1640"/>
      <c r="AZ145" s="1164"/>
      <c r="BA145" s="1164"/>
      <c r="BB145" s="1164"/>
      <c r="BC145" s="1164"/>
      <c r="BD145" s="1640"/>
      <c r="BE145" s="1164"/>
      <c r="BF145" s="1164"/>
      <c r="BG145" s="548"/>
      <c r="BH145" s="1164"/>
      <c r="BI145" s="1164"/>
      <c r="BJ145" s="1164"/>
      <c r="BK145" s="1164"/>
      <c r="BL145" s="1164"/>
      <c r="BM145" s="1636"/>
      <c r="BN145" s="570"/>
      <c r="BO145" s="570"/>
      <c r="BP145" s="570"/>
      <c r="BQ145" s="570"/>
      <c r="BR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W146" s="1164"/>
      <c r="AX146" s="1640"/>
      <c r="AY146" s="1640"/>
      <c r="AZ146" s="1164"/>
      <c r="BA146" s="1164"/>
      <c r="BB146" s="1164"/>
      <c r="BC146" s="1164"/>
      <c r="BD146" s="1640"/>
      <c r="BE146" s="1164"/>
      <c r="BF146" s="1164"/>
      <c r="BG146" s="548"/>
      <c r="BH146" s="1164"/>
      <c r="BI146" s="1164"/>
      <c r="BJ146" s="1164"/>
      <c r="BK146" s="1164"/>
      <c r="BL146" s="1164"/>
      <c r="BM146" s="1636"/>
      <c r="BN146" s="570"/>
      <c r="BO146" s="570"/>
      <c r="BP146" s="570"/>
      <c r="BQ146" s="570"/>
      <c r="BR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W147" s="1164"/>
      <c r="AX147" s="1640"/>
      <c r="AY147" s="1640"/>
      <c r="AZ147" s="1164"/>
      <c r="BA147" s="1164"/>
      <c r="BB147" s="1164"/>
      <c r="BC147" s="1164"/>
      <c r="BD147" s="1640"/>
      <c r="BE147" s="1164"/>
      <c r="BF147" s="1164"/>
      <c r="BG147" s="548"/>
      <c r="BH147" s="1164"/>
      <c r="BI147" s="1164"/>
      <c r="BJ147" s="1164"/>
      <c r="BK147" s="1164"/>
      <c r="BL147" s="1164"/>
      <c r="BM147" s="1636"/>
      <c r="BN147" s="570"/>
      <c r="BO147" s="570"/>
      <c r="BP147" s="570"/>
      <c r="BQ147" s="570"/>
      <c r="BR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W148" s="1164"/>
      <c r="AX148" s="1640"/>
      <c r="AY148" s="1640"/>
      <c r="AZ148" s="1164"/>
      <c r="BA148" s="1164"/>
      <c r="BB148" s="1164"/>
      <c r="BC148" s="1164"/>
      <c r="BD148" s="1640"/>
      <c r="BE148" s="1164"/>
      <c r="BF148" s="1164"/>
      <c r="BG148" s="548"/>
      <c r="BH148" s="1164"/>
      <c r="BI148" s="1164"/>
      <c r="BJ148" s="1164"/>
      <c r="BK148" s="1164"/>
      <c r="BL148" s="1164"/>
      <c r="BM148" s="1636"/>
      <c r="BN148" s="570"/>
      <c r="BO148" s="570"/>
      <c r="BP148" s="570"/>
      <c r="BQ148" s="570"/>
      <c r="BR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W149" s="1164"/>
      <c r="AX149" s="1640"/>
      <c r="AY149" s="1640"/>
      <c r="AZ149" s="1164"/>
      <c r="BA149" s="1164"/>
      <c r="BB149" s="1164"/>
      <c r="BC149" s="1164"/>
      <c r="BD149" s="1640"/>
      <c r="BE149" s="1164"/>
      <c r="BF149" s="1164"/>
      <c r="BG149" s="548"/>
      <c r="BH149" s="1164"/>
      <c r="BI149" s="1164"/>
      <c r="BJ149" s="1164"/>
      <c r="BK149" s="1164"/>
      <c r="BL149" s="1164"/>
      <c r="BM149" s="1636"/>
      <c r="BN149" s="570"/>
      <c r="BO149" s="570"/>
      <c r="BP149" s="570"/>
      <c r="BQ149" s="570"/>
      <c r="BR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W150" s="1164"/>
      <c r="AX150" s="1640"/>
      <c r="AY150" s="1640"/>
      <c r="AZ150" s="1164"/>
      <c r="BA150" s="1164"/>
      <c r="BB150" s="1164"/>
      <c r="BC150" s="1164"/>
      <c r="BD150" s="1640"/>
      <c r="BE150" s="1164"/>
      <c r="BF150" s="1164"/>
      <c r="BG150" s="548"/>
      <c r="BH150" s="1164"/>
      <c r="BI150" s="1164"/>
      <c r="BJ150" s="1164"/>
      <c r="BK150" s="1164"/>
      <c r="BL150" s="1164"/>
      <c r="BM150" s="1636"/>
      <c r="BN150" s="570"/>
      <c r="BO150" s="570"/>
      <c r="BP150" s="570"/>
      <c r="BQ150" s="570"/>
      <c r="BR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W151" s="1164"/>
      <c r="AX151" s="1640"/>
      <c r="AY151" s="1640"/>
      <c r="AZ151" s="1164"/>
      <c r="BA151" s="1164"/>
      <c r="BB151" s="1164"/>
      <c r="BC151" s="1164"/>
      <c r="BD151" s="1640"/>
      <c r="BE151" s="1164"/>
      <c r="BF151" s="1164"/>
      <c r="BG151" s="548"/>
      <c r="BH151" s="1164"/>
      <c r="BI151" s="1164"/>
      <c r="BJ151" s="1164"/>
      <c r="BK151" s="1164"/>
      <c r="BL151" s="1164"/>
      <c r="BM151" s="1636"/>
      <c r="BN151" s="570"/>
      <c r="BO151" s="570"/>
      <c r="BP151" s="570"/>
      <c r="BQ151" s="570"/>
      <c r="BR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W152" s="1164"/>
      <c r="AX152" s="1640"/>
      <c r="AY152" s="1640"/>
      <c r="AZ152" s="1164"/>
      <c r="BA152" s="1164"/>
      <c r="BB152" s="1164"/>
      <c r="BC152" s="1164"/>
      <c r="BD152" s="1640"/>
      <c r="BE152" s="1164"/>
      <c r="BF152" s="1164"/>
      <c r="BG152" s="548"/>
      <c r="BH152" s="1164"/>
      <c r="BI152" s="1164"/>
      <c r="BJ152" s="1164"/>
      <c r="BK152" s="1164"/>
      <c r="BL152" s="1164"/>
      <c r="BM152" s="1636"/>
      <c r="BN152" s="570"/>
      <c r="BO152" s="570"/>
      <c r="BP152" s="570"/>
      <c r="BQ152" s="570"/>
      <c r="BR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W153" s="1164"/>
      <c r="AX153" s="1640"/>
      <c r="AY153" s="1640"/>
      <c r="AZ153" s="1164"/>
      <c r="BA153" s="1164"/>
      <c r="BB153" s="1164"/>
      <c r="BC153" s="1164"/>
      <c r="BD153" s="1640"/>
      <c r="BE153" s="1164"/>
      <c r="BF153" s="1164"/>
      <c r="BG153" s="548"/>
      <c r="BH153" s="1164"/>
      <c r="BI153" s="1164"/>
      <c r="BJ153" s="1164"/>
      <c r="BK153" s="1164"/>
      <c r="BL153" s="1164"/>
      <c r="BM153" s="1636"/>
      <c r="BN153" s="570"/>
      <c r="BO153" s="570"/>
      <c r="BP153" s="570"/>
      <c r="BQ153" s="570"/>
      <c r="BR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W154" s="1164"/>
      <c r="AX154" s="1640"/>
      <c r="AY154" s="1640"/>
      <c r="AZ154" s="1164"/>
      <c r="BA154" s="1164"/>
      <c r="BB154" s="1164"/>
      <c r="BC154" s="1164"/>
      <c r="BD154" s="1640"/>
      <c r="BE154" s="1164"/>
      <c r="BF154" s="1164"/>
      <c r="BG154" s="548"/>
      <c r="BH154" s="1164"/>
      <c r="BI154" s="1164"/>
      <c r="BJ154" s="1164"/>
      <c r="BK154" s="1164"/>
      <c r="BL154" s="1164"/>
      <c r="BM154" s="1636"/>
      <c r="BN154" s="570"/>
      <c r="BO154" s="570"/>
      <c r="BP154" s="570"/>
      <c r="BQ154" s="570"/>
      <c r="BR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W155" s="1164"/>
      <c r="AX155" s="1640"/>
      <c r="AY155" s="1640"/>
      <c r="AZ155" s="1164"/>
      <c r="BA155" s="1164"/>
      <c r="BB155" s="1164"/>
      <c r="BC155" s="1164"/>
      <c r="BD155" s="1640"/>
      <c r="BE155" s="1164"/>
      <c r="BF155" s="1164"/>
      <c r="BG155" s="548"/>
      <c r="BH155" s="1164"/>
      <c r="BI155" s="1164"/>
      <c r="BJ155" s="1164"/>
      <c r="BK155" s="1164"/>
      <c r="BL155" s="1164"/>
      <c r="BM155" s="1636"/>
      <c r="BN155" s="570"/>
      <c r="BO155" s="570"/>
      <c r="BP155" s="570"/>
      <c r="BQ155" s="570"/>
      <c r="BR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W156" s="1164"/>
      <c r="AX156" s="1640"/>
      <c r="AY156" s="1640"/>
      <c r="AZ156" s="1164"/>
      <c r="BA156" s="1164"/>
      <c r="BB156" s="1164"/>
      <c r="BC156" s="1164"/>
      <c r="BD156" s="1640"/>
      <c r="BE156" s="1164"/>
      <c r="BF156" s="1164"/>
      <c r="BG156" s="548"/>
      <c r="BH156" s="1164"/>
      <c r="BI156" s="1164"/>
      <c r="BJ156" s="1164"/>
      <c r="BK156" s="1164"/>
      <c r="BL156" s="1164"/>
      <c r="BM156" s="1636"/>
      <c r="BN156" s="570"/>
      <c r="BO156" s="570"/>
      <c r="BP156" s="570"/>
      <c r="BQ156" s="570"/>
      <c r="BR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W157" s="1164"/>
      <c r="AX157" s="1640"/>
      <c r="AY157" s="1640"/>
      <c r="AZ157" s="1164"/>
      <c r="BA157" s="1164"/>
      <c r="BB157" s="1164"/>
      <c r="BC157" s="1164"/>
      <c r="BD157" s="1640"/>
      <c r="BE157" s="1164"/>
      <c r="BF157" s="1164"/>
      <c r="BG157" s="548"/>
      <c r="BH157" s="1164"/>
      <c r="BI157" s="1164"/>
      <c r="BJ157" s="1164"/>
      <c r="BK157" s="1164"/>
      <c r="BL157" s="1164"/>
      <c r="BM157" s="1636"/>
      <c r="BN157" s="570"/>
      <c r="BO157" s="570"/>
      <c r="BP157" s="570"/>
      <c r="BQ157" s="570"/>
      <c r="BR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W158" s="1164"/>
      <c r="AX158" s="1640"/>
      <c r="AY158" s="1640"/>
      <c r="AZ158" s="1164"/>
      <c r="BA158" s="1164"/>
      <c r="BB158" s="1164"/>
      <c r="BC158" s="1164"/>
      <c r="BD158" s="1640"/>
      <c r="BE158" s="1164"/>
      <c r="BF158" s="1164"/>
      <c r="BG158" s="548"/>
      <c r="BH158" s="1164"/>
      <c r="BI158" s="1164"/>
      <c r="BJ158" s="1164"/>
      <c r="BK158" s="1164"/>
      <c r="BL158" s="1164"/>
      <c r="BM158" s="1636"/>
      <c r="BN158" s="570"/>
      <c r="BO158" s="570"/>
      <c r="BP158" s="570"/>
      <c r="BQ158" s="570"/>
      <c r="BR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W159" s="1164"/>
      <c r="AX159" s="1640"/>
      <c r="AY159" s="1640"/>
      <c r="AZ159" s="1164"/>
      <c r="BA159" s="1164"/>
      <c r="BB159" s="1164"/>
      <c r="BC159" s="1164"/>
      <c r="BD159" s="1640"/>
      <c r="BE159" s="1164"/>
      <c r="BF159" s="1164"/>
      <c r="BG159" s="548"/>
      <c r="BH159" s="1164"/>
      <c r="BI159" s="1164"/>
      <c r="BJ159" s="1164"/>
      <c r="BK159" s="1164"/>
      <c r="BL159" s="1164"/>
      <c r="BM159" s="1636"/>
      <c r="BN159" s="570"/>
      <c r="BO159" s="570"/>
      <c r="BP159" s="570"/>
      <c r="BQ159" s="570"/>
      <c r="BR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W160" s="1164"/>
      <c r="AX160" s="1640"/>
      <c r="AY160" s="1640"/>
      <c r="AZ160" s="1164"/>
      <c r="BA160" s="1164"/>
      <c r="BB160" s="1164"/>
      <c r="BC160" s="1164"/>
      <c r="BD160" s="1640"/>
      <c r="BE160" s="1164"/>
      <c r="BF160" s="1164"/>
      <c r="BG160" s="548"/>
      <c r="BH160" s="1164"/>
      <c r="BI160" s="1164"/>
      <c r="BJ160" s="1164"/>
      <c r="BK160" s="1164"/>
      <c r="BL160" s="1164"/>
      <c r="BM160" s="1636"/>
      <c r="BN160" s="570"/>
      <c r="BO160" s="570"/>
      <c r="BP160" s="570"/>
      <c r="BQ160" s="570"/>
      <c r="BR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W161" s="1164"/>
      <c r="AX161" s="1640"/>
      <c r="AY161" s="1640"/>
      <c r="AZ161" s="1164"/>
      <c r="BA161" s="1164"/>
      <c r="BB161" s="1164"/>
      <c r="BC161" s="1164"/>
      <c r="BD161" s="1640"/>
      <c r="BE161" s="1164"/>
      <c r="BF161" s="1164"/>
      <c r="BG161" s="548"/>
      <c r="BH161" s="1164"/>
      <c r="BI161" s="1164"/>
      <c r="BJ161" s="1164"/>
      <c r="BK161" s="1164"/>
      <c r="BL161" s="1164"/>
      <c r="BM161" s="1636"/>
      <c r="BN161" s="570"/>
      <c r="BO161" s="570"/>
      <c r="BP161" s="570"/>
      <c r="BQ161" s="570"/>
      <c r="BR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W162" s="1164"/>
      <c r="AX162" s="1640"/>
      <c r="AY162" s="1640"/>
      <c r="AZ162" s="1164"/>
      <c r="BA162" s="1164"/>
      <c r="BB162" s="1164"/>
      <c r="BC162" s="1164"/>
      <c r="BD162" s="1640"/>
      <c r="BE162" s="1164"/>
      <c r="BF162" s="1164"/>
      <c r="BG162" s="548"/>
      <c r="BH162" s="1164"/>
      <c r="BI162" s="1164"/>
      <c r="BJ162" s="1164"/>
      <c r="BK162" s="1164"/>
      <c r="BL162" s="1164"/>
      <c r="BM162" s="1636"/>
      <c r="BN162" s="570"/>
      <c r="BO162" s="570"/>
      <c r="BP162" s="570"/>
      <c r="BQ162" s="570"/>
      <c r="BR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W163" s="1164"/>
      <c r="AX163" s="1640"/>
      <c r="AY163" s="1640"/>
      <c r="AZ163" s="1164"/>
      <c r="BA163" s="1164"/>
      <c r="BB163" s="1164"/>
      <c r="BC163" s="1164"/>
      <c r="BD163" s="1640"/>
      <c r="BE163" s="1164"/>
      <c r="BF163" s="1164"/>
      <c r="BG163" s="548"/>
      <c r="BH163" s="1164"/>
      <c r="BI163" s="1164"/>
      <c r="BJ163" s="1164"/>
      <c r="BK163" s="1164"/>
      <c r="BL163" s="1164"/>
      <c r="BM163" s="1636"/>
      <c r="BN163" s="570"/>
      <c r="BO163" s="570"/>
      <c r="BP163" s="570"/>
      <c r="BQ163" s="570"/>
      <c r="BR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W164" s="1164"/>
      <c r="AX164" s="1640"/>
      <c r="AY164" s="1640"/>
      <c r="AZ164" s="1164"/>
      <c r="BA164" s="1164"/>
      <c r="BB164" s="1164"/>
      <c r="BC164" s="1164"/>
      <c r="BD164" s="1640"/>
      <c r="BE164" s="1164"/>
      <c r="BF164" s="1164"/>
      <c r="BG164" s="548"/>
      <c r="BH164" s="1164"/>
      <c r="BI164" s="1164"/>
      <c r="BJ164" s="1164"/>
      <c r="BK164" s="1164"/>
      <c r="BL164" s="1164"/>
      <c r="BM164" s="1636"/>
      <c r="BN164" s="570"/>
      <c r="BO164" s="570"/>
      <c r="BP164" s="570"/>
      <c r="BQ164" s="570"/>
      <c r="BR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W165" s="1164"/>
      <c r="AX165" s="1640"/>
      <c r="AY165" s="1640"/>
      <c r="AZ165" s="1164"/>
      <c r="BA165" s="1164"/>
      <c r="BB165" s="1164"/>
      <c r="BC165" s="1164"/>
      <c r="BD165" s="1640"/>
      <c r="BE165" s="1164"/>
      <c r="BF165" s="1164"/>
      <c r="BG165" s="548"/>
      <c r="BH165" s="1164"/>
      <c r="BI165" s="1164"/>
      <c r="BJ165" s="1164"/>
      <c r="BK165" s="1164"/>
      <c r="BL165" s="1164"/>
      <c r="BM165" s="1636"/>
      <c r="BN165" s="570"/>
      <c r="BO165" s="570"/>
      <c r="BP165" s="570"/>
      <c r="BQ165" s="570"/>
      <c r="BR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W166" s="1164"/>
      <c r="AX166" s="1640"/>
      <c r="AY166" s="1640"/>
      <c r="AZ166" s="1164"/>
      <c r="BA166" s="1164"/>
      <c r="BB166" s="1164"/>
      <c r="BC166" s="1164"/>
      <c r="BD166" s="1640"/>
      <c r="BE166" s="1164"/>
      <c r="BF166" s="1164"/>
      <c r="BG166" s="548"/>
      <c r="BH166" s="1164"/>
      <c r="BI166" s="1164"/>
      <c r="BJ166" s="1164"/>
      <c r="BK166" s="1164"/>
      <c r="BL166" s="1164"/>
      <c r="BM166" s="1636"/>
      <c r="BN166" s="570"/>
      <c r="BO166" s="570"/>
      <c r="BP166" s="570"/>
      <c r="BQ166" s="570"/>
      <c r="BR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W167" s="1164"/>
      <c r="AX167" s="1640"/>
      <c r="AY167" s="1640"/>
      <c r="AZ167" s="1164"/>
      <c r="BA167" s="1164"/>
      <c r="BB167" s="1164"/>
      <c r="BC167" s="1164"/>
      <c r="BD167" s="1640"/>
      <c r="BE167" s="1164"/>
      <c r="BF167" s="1164"/>
      <c r="BG167" s="548"/>
      <c r="BH167" s="1164"/>
      <c r="BI167" s="1164"/>
      <c r="BJ167" s="1164"/>
      <c r="BK167" s="1164"/>
      <c r="BL167" s="1164"/>
      <c r="BM167" s="1636"/>
      <c r="BN167" s="570"/>
      <c r="BO167" s="570"/>
      <c r="BP167" s="570"/>
      <c r="BQ167" s="570"/>
      <c r="BR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W168" s="1164"/>
      <c r="AX168" s="1640"/>
      <c r="AY168" s="1640"/>
      <c r="AZ168" s="1164"/>
      <c r="BA168" s="1164"/>
      <c r="BB168" s="1164"/>
      <c r="BC168" s="1164"/>
      <c r="BD168" s="1640"/>
      <c r="BE168" s="1164"/>
      <c r="BF168" s="1164"/>
      <c r="BG168" s="548"/>
      <c r="BH168" s="1164"/>
      <c r="BI168" s="1164"/>
      <c r="BJ168" s="1164"/>
      <c r="BK168" s="1164"/>
      <c r="BL168" s="1164"/>
      <c r="BM168" s="1636"/>
      <c r="BN168" s="570"/>
      <c r="BO168" s="570"/>
      <c r="BP168" s="570"/>
      <c r="BQ168" s="570"/>
      <c r="BR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W169" s="1164"/>
      <c r="AX169" s="1640"/>
      <c r="AY169" s="1640"/>
      <c r="AZ169" s="1164"/>
      <c r="BA169" s="1164"/>
      <c r="BB169" s="1164"/>
      <c r="BC169" s="1164"/>
      <c r="BD169" s="1640"/>
      <c r="BE169" s="1164"/>
      <c r="BF169" s="1164"/>
      <c r="BG169" s="548"/>
      <c r="BH169" s="1164"/>
      <c r="BI169" s="1164"/>
      <c r="BJ169" s="1164"/>
      <c r="BK169" s="1164"/>
      <c r="BL169" s="1164"/>
      <c r="BM169" s="1636"/>
      <c r="BN169" s="570"/>
      <c r="BO169" s="570"/>
      <c r="BP169" s="570"/>
      <c r="BQ169" s="570"/>
      <c r="BR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W170" s="1164"/>
      <c r="AX170" s="1640"/>
      <c r="AY170" s="1640"/>
      <c r="AZ170" s="1164"/>
      <c r="BA170" s="1164"/>
      <c r="BB170" s="1164"/>
      <c r="BC170" s="1164"/>
      <c r="BD170" s="1640"/>
      <c r="BE170" s="1164"/>
      <c r="BF170" s="1164"/>
      <c r="BG170" s="548"/>
      <c r="BH170" s="1164"/>
      <c r="BI170" s="1164"/>
      <c r="BJ170" s="1164"/>
      <c r="BK170" s="1164"/>
      <c r="BL170" s="1164"/>
      <c r="BM170" s="1636"/>
      <c r="BN170" s="570"/>
      <c r="BO170" s="570"/>
      <c r="BP170" s="570"/>
      <c r="BQ170" s="570"/>
      <c r="BR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W171" s="1164"/>
      <c r="AX171" s="1640"/>
      <c r="AY171" s="1640"/>
      <c r="AZ171" s="1164"/>
      <c r="BA171" s="1164"/>
      <c r="BB171" s="1164"/>
      <c r="BC171" s="1164"/>
      <c r="BD171" s="1640"/>
      <c r="BE171" s="1164"/>
      <c r="BF171" s="1164"/>
      <c r="BG171" s="548"/>
      <c r="BH171" s="1164"/>
      <c r="BI171" s="1164"/>
      <c r="BJ171" s="1164"/>
      <c r="BK171" s="1164"/>
      <c r="BL171" s="1164"/>
      <c r="BM171" s="1636"/>
      <c r="BN171" s="570"/>
      <c r="BO171" s="570"/>
      <c r="BP171" s="570"/>
      <c r="BQ171" s="570"/>
      <c r="BR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W172" s="1164"/>
      <c r="AX172" s="1640"/>
      <c r="AY172" s="1640"/>
      <c r="AZ172" s="1164"/>
      <c r="BA172" s="1164"/>
      <c r="BB172" s="1164"/>
      <c r="BC172" s="1164"/>
      <c r="BD172" s="1640"/>
      <c r="BE172" s="1164"/>
      <c r="BF172" s="1164"/>
      <c r="BG172" s="548"/>
      <c r="BH172" s="1164"/>
      <c r="BI172" s="1164"/>
      <c r="BJ172" s="1164"/>
      <c r="BK172" s="1164"/>
      <c r="BL172" s="1164"/>
      <c r="BM172" s="1636"/>
      <c r="BN172" s="570"/>
      <c r="BO172" s="570"/>
      <c r="BP172" s="570"/>
      <c r="BQ172" s="570"/>
      <c r="BR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W173" s="1164"/>
      <c r="AX173" s="1640"/>
      <c r="AY173" s="1640"/>
      <c r="AZ173" s="1164"/>
      <c r="BA173" s="1164"/>
      <c r="BB173" s="1164"/>
      <c r="BC173" s="1164"/>
      <c r="BD173" s="1640"/>
      <c r="BE173" s="1164"/>
      <c r="BF173" s="1164"/>
      <c r="BG173" s="548"/>
      <c r="BH173" s="1164"/>
      <c r="BI173" s="1164"/>
      <c r="BJ173" s="1164"/>
      <c r="BK173" s="1164"/>
      <c r="BL173" s="1164"/>
      <c r="BM173" s="1636"/>
      <c r="BN173" s="570"/>
      <c r="BO173" s="570"/>
      <c r="BP173" s="570"/>
      <c r="BQ173" s="570"/>
      <c r="BR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W174" s="1164"/>
      <c r="AX174" s="1640"/>
      <c r="AY174" s="1640"/>
      <c r="AZ174" s="1164"/>
      <c r="BA174" s="1164"/>
      <c r="BB174" s="1164"/>
      <c r="BC174" s="1164"/>
      <c r="BD174" s="1640"/>
      <c r="BE174" s="1164"/>
      <c r="BF174" s="1164"/>
      <c r="BG174" s="548"/>
      <c r="BH174" s="1164"/>
      <c r="BI174" s="1164"/>
      <c r="BJ174" s="1164"/>
      <c r="BK174" s="1164"/>
      <c r="BL174" s="1164"/>
      <c r="BM174" s="1636"/>
      <c r="BN174" s="570"/>
      <c r="BO174" s="570"/>
      <c r="BP174" s="570"/>
      <c r="BQ174" s="570"/>
      <c r="BR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W175" s="1164"/>
      <c r="AX175" s="1640"/>
      <c r="AY175" s="1640"/>
      <c r="AZ175" s="1164"/>
      <c r="BA175" s="1164"/>
      <c r="BB175" s="1164"/>
      <c r="BC175" s="1164"/>
      <c r="BD175" s="1640"/>
      <c r="BE175" s="1164"/>
      <c r="BF175" s="1164"/>
      <c r="BG175" s="548"/>
      <c r="BH175" s="1164"/>
      <c r="BI175" s="1164"/>
      <c r="BJ175" s="1164"/>
      <c r="BK175" s="1164"/>
      <c r="BL175" s="1164"/>
      <c r="BM175" s="1636"/>
      <c r="BN175" s="570"/>
      <c r="BO175" s="570"/>
      <c r="BP175" s="570"/>
      <c r="BQ175" s="570"/>
      <c r="BR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W176" s="1164"/>
      <c r="AX176" s="1640"/>
      <c r="AY176" s="1640"/>
      <c r="AZ176" s="1164"/>
      <c r="BA176" s="1164"/>
      <c r="BB176" s="1164"/>
      <c r="BC176" s="1164"/>
      <c r="BD176" s="1640"/>
      <c r="BE176" s="1164"/>
      <c r="BF176" s="1164"/>
      <c r="BG176" s="548"/>
      <c r="BH176" s="1164"/>
      <c r="BI176" s="1164"/>
      <c r="BJ176" s="1164"/>
      <c r="BK176" s="1164"/>
      <c r="BL176" s="1164"/>
      <c r="BM176" s="1636"/>
      <c r="BN176" s="570"/>
      <c r="BO176" s="570"/>
      <c r="BP176" s="570"/>
      <c r="BQ176" s="570"/>
      <c r="BR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W177" s="1164"/>
      <c r="AX177" s="1640"/>
      <c r="AY177" s="1640"/>
      <c r="AZ177" s="1164"/>
      <c r="BA177" s="1164"/>
      <c r="BB177" s="1164"/>
      <c r="BC177" s="1164"/>
      <c r="BD177" s="1640"/>
      <c r="BE177" s="1164"/>
      <c r="BF177" s="1164"/>
      <c r="BG177" s="548"/>
      <c r="BH177" s="1164"/>
      <c r="BI177" s="1164"/>
      <c r="BJ177" s="1164"/>
      <c r="BK177" s="1164"/>
      <c r="BL177" s="1164"/>
      <c r="BM177" s="1636"/>
      <c r="BN177" s="570"/>
      <c r="BO177" s="570"/>
      <c r="BP177" s="570"/>
      <c r="BQ177" s="570"/>
      <c r="BR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W178" s="1164"/>
      <c r="AX178" s="1640"/>
      <c r="AY178" s="1640"/>
      <c r="AZ178" s="1164"/>
      <c r="BA178" s="1164"/>
      <c r="BB178" s="1164"/>
      <c r="BC178" s="1164"/>
      <c r="BD178" s="1640"/>
      <c r="BE178" s="1164"/>
      <c r="BF178" s="1164"/>
      <c r="BG178" s="548"/>
      <c r="BH178" s="1164"/>
      <c r="BI178" s="1164"/>
      <c r="BJ178" s="1164"/>
      <c r="BK178" s="1164"/>
      <c r="BL178" s="1164"/>
      <c r="BM178" s="1636"/>
      <c r="BN178" s="570"/>
      <c r="BO178" s="570"/>
      <c r="BP178" s="570"/>
      <c r="BQ178" s="570"/>
      <c r="BR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W179" s="1164"/>
      <c r="AX179" s="1640"/>
      <c r="AY179" s="1640"/>
      <c r="AZ179" s="1164"/>
      <c r="BA179" s="1164"/>
      <c r="BB179" s="1164"/>
      <c r="BC179" s="1164"/>
      <c r="BD179" s="1640"/>
      <c r="BE179" s="1164"/>
      <c r="BF179" s="1164"/>
      <c r="BG179" s="548"/>
      <c r="BH179" s="1164"/>
      <c r="BI179" s="1164"/>
      <c r="BJ179" s="1164"/>
      <c r="BK179" s="1164"/>
      <c r="BL179" s="1164"/>
      <c r="BM179" s="1636"/>
      <c r="BN179" s="570"/>
      <c r="BO179" s="570"/>
      <c r="BP179" s="570"/>
      <c r="BQ179" s="570"/>
      <c r="BR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W180" s="1164"/>
      <c r="AX180" s="1640"/>
      <c r="AY180" s="1640"/>
      <c r="AZ180" s="1164"/>
      <c r="BA180" s="1164"/>
      <c r="BB180" s="1164"/>
      <c r="BC180" s="1164"/>
      <c r="BD180" s="1640"/>
      <c r="BE180" s="1164"/>
      <c r="BF180" s="1164"/>
      <c r="BG180" s="548"/>
      <c r="BH180" s="1164"/>
      <c r="BI180" s="1164"/>
      <c r="BJ180" s="1164"/>
      <c r="BK180" s="1164"/>
      <c r="BL180" s="1164"/>
      <c r="BM180" s="1636"/>
      <c r="BN180" s="570"/>
      <c r="BO180" s="570"/>
      <c r="BP180" s="570"/>
      <c r="BQ180" s="570"/>
      <c r="BR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W181" s="1164"/>
      <c r="AX181" s="1640"/>
      <c r="AY181" s="1640"/>
      <c r="AZ181" s="1164"/>
      <c r="BA181" s="1164"/>
      <c r="BB181" s="1164"/>
      <c r="BC181" s="1164"/>
      <c r="BD181" s="1640"/>
      <c r="BE181" s="1164"/>
      <c r="BF181" s="1164"/>
      <c r="BG181" s="548"/>
      <c r="BH181" s="1164"/>
      <c r="BI181" s="1164"/>
      <c r="BJ181" s="1164"/>
      <c r="BK181" s="1164"/>
      <c r="BL181" s="1164"/>
      <c r="BM181" s="1636"/>
      <c r="BN181" s="570"/>
      <c r="BO181" s="570"/>
      <c r="BP181" s="570"/>
      <c r="BQ181" s="570"/>
      <c r="BR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W182" s="1164"/>
      <c r="AX182" s="1640"/>
      <c r="AY182" s="1640"/>
      <c r="AZ182" s="1164"/>
      <c r="BA182" s="1164"/>
      <c r="BB182" s="1164"/>
      <c r="BC182" s="1164"/>
      <c r="BD182" s="1640"/>
      <c r="BE182" s="1164"/>
      <c r="BF182" s="1164"/>
      <c r="BG182" s="548"/>
      <c r="BH182" s="1164"/>
      <c r="BI182" s="1164"/>
      <c r="BJ182" s="1164"/>
      <c r="BK182" s="1164"/>
      <c r="BL182" s="1164"/>
      <c r="BM182" s="1636"/>
      <c r="BN182" s="570"/>
      <c r="BO182" s="570"/>
      <c r="BP182" s="570"/>
      <c r="BQ182" s="570"/>
      <c r="BR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W183" s="1164"/>
      <c r="AX183" s="1640"/>
      <c r="AY183" s="1640"/>
      <c r="AZ183" s="1164"/>
      <c r="BA183" s="1164"/>
      <c r="BB183" s="1164"/>
      <c r="BC183" s="1164"/>
      <c r="BD183" s="1640"/>
      <c r="BE183" s="1164"/>
      <c r="BF183" s="1164"/>
      <c r="BG183" s="548"/>
      <c r="BH183" s="1164"/>
      <c r="BI183" s="1164"/>
      <c r="BJ183" s="1164"/>
      <c r="BK183" s="1164"/>
      <c r="BL183" s="1164"/>
      <c r="BM183" s="1636"/>
      <c r="BN183" s="570"/>
      <c r="BO183" s="570"/>
      <c r="BP183" s="570"/>
      <c r="BQ183" s="570"/>
      <c r="BR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W184" s="1164"/>
      <c r="AX184" s="1640"/>
      <c r="AY184" s="1640"/>
      <c r="AZ184" s="1164"/>
      <c r="BA184" s="1164"/>
      <c r="BB184" s="1164"/>
      <c r="BC184" s="1164"/>
      <c r="BD184" s="1640"/>
      <c r="BE184" s="1164"/>
      <c r="BF184" s="1164"/>
      <c r="BG184" s="548"/>
      <c r="BH184" s="1164"/>
      <c r="BI184" s="1164"/>
      <c r="BJ184" s="1164"/>
      <c r="BK184" s="1164"/>
      <c r="BL184" s="1164"/>
      <c r="BM184" s="1636"/>
      <c r="BN184" s="570"/>
      <c r="BO184" s="570"/>
      <c r="BP184" s="570"/>
      <c r="BQ184" s="570"/>
      <c r="BR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W185" s="1164"/>
      <c r="AX185" s="1640"/>
      <c r="AY185" s="1640"/>
      <c r="AZ185" s="1164"/>
      <c r="BA185" s="1164"/>
      <c r="BB185" s="1164"/>
      <c r="BC185" s="1164"/>
      <c r="BD185" s="1640"/>
      <c r="BE185" s="1164"/>
      <c r="BF185" s="1164"/>
      <c r="BG185" s="548"/>
      <c r="BH185" s="1164"/>
      <c r="BI185" s="1164"/>
      <c r="BJ185" s="1164"/>
      <c r="BK185" s="1164"/>
      <c r="BL185" s="1164"/>
      <c r="BM185" s="1636"/>
      <c r="BN185" s="570"/>
      <c r="BO185" s="570"/>
      <c r="BP185" s="570"/>
      <c r="BQ185" s="570"/>
      <c r="BR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W186" s="1164"/>
      <c r="AX186" s="1640"/>
      <c r="AY186" s="1640"/>
      <c r="AZ186" s="1164"/>
      <c r="BA186" s="1164"/>
      <c r="BB186" s="1164"/>
      <c r="BC186" s="1164"/>
      <c r="BD186" s="1640"/>
      <c r="BE186" s="1164"/>
      <c r="BF186" s="1164"/>
      <c r="BG186" s="548"/>
      <c r="BH186" s="1164"/>
      <c r="BI186" s="1164"/>
      <c r="BJ186" s="1164"/>
      <c r="BK186" s="1164"/>
      <c r="BL186" s="1164"/>
      <c r="BM186" s="1636"/>
      <c r="BN186" s="570"/>
      <c r="BO186" s="570"/>
      <c r="BP186" s="570"/>
      <c r="BQ186" s="570"/>
      <c r="BR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W187" s="1164"/>
      <c r="AX187" s="1640"/>
      <c r="AY187" s="1640"/>
      <c r="AZ187" s="1164"/>
      <c r="BA187" s="1164"/>
      <c r="BB187" s="1164"/>
      <c r="BC187" s="1164"/>
      <c r="BD187" s="1640"/>
      <c r="BE187" s="1164"/>
      <c r="BF187" s="1164"/>
      <c r="BG187" s="548"/>
      <c r="BH187" s="1164"/>
      <c r="BI187" s="1164"/>
      <c r="BJ187" s="1164"/>
      <c r="BK187" s="1164"/>
      <c r="BL187" s="1164"/>
      <c r="BM187" s="1636"/>
      <c r="BN187" s="570"/>
      <c r="BO187" s="570"/>
      <c r="BP187" s="570"/>
      <c r="BQ187" s="570"/>
      <c r="BR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W188" s="1164"/>
      <c r="AX188" s="1640"/>
      <c r="AY188" s="1640"/>
      <c r="AZ188" s="1164"/>
      <c r="BA188" s="1164"/>
      <c r="BB188" s="1164"/>
      <c r="BC188" s="1164"/>
      <c r="BD188" s="1640"/>
      <c r="BE188" s="1164"/>
      <c r="BF188" s="1164"/>
      <c r="BG188" s="548"/>
      <c r="BH188" s="1164"/>
      <c r="BI188" s="1164"/>
      <c r="BJ188" s="1164"/>
      <c r="BK188" s="1164"/>
      <c r="BL188" s="1164"/>
      <c r="BM188" s="1636"/>
      <c r="BN188" s="570"/>
      <c r="BO188" s="570"/>
      <c r="BP188" s="570"/>
      <c r="BQ188" s="570"/>
      <c r="BR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W189" s="1164"/>
      <c r="AX189" s="1640"/>
      <c r="AY189" s="1640"/>
      <c r="AZ189" s="1164"/>
      <c r="BA189" s="1164"/>
      <c r="BB189" s="1164"/>
      <c r="BC189" s="1164"/>
      <c r="BD189" s="1640"/>
      <c r="BE189" s="1164"/>
      <c r="BF189" s="1164"/>
      <c r="BG189" s="548"/>
      <c r="BH189" s="1164"/>
      <c r="BI189" s="1164"/>
      <c r="BJ189" s="1164"/>
      <c r="BK189" s="1164"/>
      <c r="BL189" s="1164"/>
      <c r="BM189" s="1636"/>
      <c r="BN189" s="570"/>
      <c r="BO189" s="570"/>
      <c r="BP189" s="570"/>
      <c r="BQ189" s="570"/>
      <c r="BR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W190" s="1164"/>
      <c r="AX190" s="1640"/>
      <c r="AY190" s="1640"/>
      <c r="AZ190" s="1164"/>
      <c r="BA190" s="1164"/>
      <c r="BB190" s="1164"/>
      <c r="BC190" s="1164"/>
      <c r="BD190" s="1640"/>
      <c r="BE190" s="1164"/>
      <c r="BF190" s="1164"/>
      <c r="BG190" s="548"/>
      <c r="BH190" s="1164"/>
      <c r="BI190" s="1164"/>
      <c r="BJ190" s="1164"/>
      <c r="BK190" s="1164"/>
      <c r="BL190" s="1164"/>
      <c r="BM190" s="1636"/>
      <c r="BN190" s="570"/>
      <c r="BO190" s="570"/>
      <c r="BP190" s="570"/>
      <c r="BQ190" s="570"/>
      <c r="BR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W191" s="1164"/>
      <c r="AX191" s="1640"/>
      <c r="AY191" s="1640"/>
      <c r="AZ191" s="1164"/>
      <c r="BA191" s="1164"/>
      <c r="BB191" s="1164"/>
      <c r="BC191" s="1164"/>
      <c r="BD191" s="1640"/>
      <c r="BE191" s="1164"/>
      <c r="BF191" s="1164"/>
      <c r="BG191" s="548"/>
      <c r="BH191" s="1164"/>
      <c r="BI191" s="1164"/>
      <c r="BJ191" s="1164"/>
      <c r="BK191" s="1164"/>
      <c r="BL191" s="1164"/>
      <c r="BM191" s="1636"/>
      <c r="BN191" s="570"/>
      <c r="BO191" s="570"/>
      <c r="BP191" s="570"/>
      <c r="BQ191" s="570"/>
      <c r="BR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W192" s="1164"/>
      <c r="AX192" s="1640"/>
      <c r="AY192" s="1640"/>
      <c r="AZ192" s="1164"/>
      <c r="BA192" s="1164"/>
      <c r="BB192" s="1164"/>
      <c r="BC192" s="1164"/>
      <c r="BD192" s="1640"/>
      <c r="BE192" s="1164"/>
      <c r="BF192" s="1164"/>
      <c r="BG192" s="548"/>
      <c r="BH192" s="1164"/>
      <c r="BI192" s="1164"/>
      <c r="BJ192" s="1164"/>
      <c r="BK192" s="1164"/>
      <c r="BL192" s="1164"/>
      <c r="BM192" s="1636"/>
      <c r="BN192" s="570"/>
      <c r="BO192" s="570"/>
      <c r="BP192" s="570"/>
      <c r="BQ192" s="570"/>
      <c r="BR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W193" s="1164"/>
      <c r="AX193" s="1640"/>
      <c r="AY193" s="1640"/>
      <c r="AZ193" s="1164"/>
      <c r="BA193" s="1164"/>
      <c r="BB193" s="1164"/>
      <c r="BC193" s="1164"/>
      <c r="BD193" s="1640"/>
      <c r="BE193" s="1164"/>
      <c r="BF193" s="1164"/>
      <c r="BG193" s="548"/>
      <c r="BH193" s="1164"/>
      <c r="BI193" s="1164"/>
      <c r="BJ193" s="1164"/>
      <c r="BK193" s="1164"/>
      <c r="BL193" s="1164"/>
      <c r="BM193" s="1636"/>
      <c r="BN193" s="570"/>
      <c r="BO193" s="570"/>
      <c r="BP193" s="570"/>
      <c r="BQ193" s="570"/>
      <c r="BR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W194" s="1164"/>
      <c r="AX194" s="1640"/>
      <c r="AY194" s="1640"/>
      <c r="AZ194" s="1164"/>
      <c r="BA194" s="1164"/>
      <c r="BB194" s="1164"/>
      <c r="BC194" s="1164"/>
      <c r="BD194" s="1640"/>
      <c r="BE194" s="1164"/>
      <c r="BF194" s="1164"/>
      <c r="BG194" s="548"/>
      <c r="BH194" s="1164"/>
      <c r="BI194" s="1164"/>
      <c r="BJ194" s="1164"/>
      <c r="BK194" s="1164"/>
      <c r="BL194" s="1164"/>
      <c r="BM194" s="1636"/>
      <c r="BN194" s="570"/>
      <c r="BO194" s="570"/>
      <c r="BP194" s="570"/>
      <c r="BQ194" s="570"/>
      <c r="BR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W195" s="1164"/>
      <c r="AX195" s="1640"/>
      <c r="AY195" s="1640"/>
      <c r="AZ195" s="1164"/>
      <c r="BA195" s="1164"/>
      <c r="BB195" s="1164"/>
      <c r="BC195" s="1164"/>
      <c r="BD195" s="1640"/>
      <c r="BE195" s="1164"/>
      <c r="BF195" s="1164"/>
      <c r="BG195" s="548"/>
      <c r="BH195" s="1164"/>
      <c r="BI195" s="1164"/>
      <c r="BJ195" s="1164"/>
      <c r="BK195" s="1164"/>
      <c r="BL195" s="1164"/>
      <c r="BM195" s="1636"/>
      <c r="BN195" s="570"/>
      <c r="BO195" s="570"/>
      <c r="BP195" s="570"/>
      <c r="BQ195" s="570"/>
      <c r="BR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W196" s="1164"/>
      <c r="AX196" s="1640"/>
      <c r="AY196" s="1640"/>
      <c r="AZ196" s="1164"/>
      <c r="BA196" s="1164"/>
      <c r="BB196" s="1164"/>
      <c r="BC196" s="1164"/>
      <c r="BD196" s="1640"/>
      <c r="BE196" s="1164"/>
      <c r="BF196" s="1164"/>
      <c r="BG196" s="548"/>
      <c r="BH196" s="1164"/>
      <c r="BI196" s="1164"/>
      <c r="BJ196" s="1164"/>
      <c r="BK196" s="1164"/>
      <c r="BL196" s="1164"/>
      <c r="BM196" s="1636"/>
      <c r="BN196" s="570"/>
      <c r="BO196" s="570"/>
      <c r="BP196" s="570"/>
      <c r="BQ196" s="570"/>
      <c r="BR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W197" s="1164"/>
      <c r="AX197" s="1640"/>
      <c r="AY197" s="1640"/>
      <c r="AZ197" s="1164"/>
      <c r="BA197" s="1164"/>
      <c r="BB197" s="1164"/>
      <c r="BC197" s="1164"/>
      <c r="BD197" s="1640"/>
      <c r="BE197" s="1164"/>
      <c r="BF197" s="1164"/>
      <c r="BG197" s="548"/>
      <c r="BH197" s="1164"/>
      <c r="BI197" s="1164"/>
      <c r="BJ197" s="1164"/>
      <c r="BK197" s="1164"/>
      <c r="BL197" s="1164"/>
      <c r="BM197" s="1636"/>
      <c r="BN197" s="570"/>
      <c r="BO197" s="570"/>
      <c r="BP197" s="570"/>
      <c r="BQ197" s="570"/>
      <c r="BR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W198" s="1164"/>
      <c r="AX198" s="1640"/>
      <c r="AY198" s="1640"/>
      <c r="AZ198" s="1164"/>
      <c r="BA198" s="1164"/>
      <c r="BB198" s="1164"/>
      <c r="BC198" s="1164"/>
      <c r="BD198" s="1640"/>
      <c r="BE198" s="1164"/>
      <c r="BF198" s="1164"/>
      <c r="BG198" s="548"/>
      <c r="BH198" s="1164"/>
      <c r="BI198" s="1164"/>
      <c r="BJ198" s="1164"/>
      <c r="BK198" s="1164"/>
      <c r="BL198" s="1164"/>
      <c r="BM198" s="1636"/>
      <c r="BN198" s="570"/>
      <c r="BO198" s="570"/>
      <c r="BP198" s="570"/>
      <c r="BQ198" s="570"/>
      <c r="BR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W199" s="1164"/>
      <c r="AX199" s="1640"/>
      <c r="AY199" s="1640"/>
      <c r="AZ199" s="1164"/>
      <c r="BA199" s="1164"/>
      <c r="BB199" s="1164"/>
      <c r="BC199" s="1164"/>
      <c r="BD199" s="1640"/>
      <c r="BE199" s="1164"/>
      <c r="BF199" s="1164"/>
      <c r="BG199" s="548"/>
      <c r="BH199" s="1164"/>
      <c r="BI199" s="1164"/>
      <c r="BJ199" s="1164"/>
      <c r="BK199" s="1164"/>
      <c r="BL199" s="1164"/>
      <c r="BM199" s="1636"/>
      <c r="BN199" s="570"/>
      <c r="BO199" s="570"/>
      <c r="BP199" s="570"/>
      <c r="BQ199" s="570"/>
      <c r="BR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W200" s="1164"/>
      <c r="AX200" s="1640"/>
      <c r="AY200" s="1640"/>
      <c r="AZ200" s="1164"/>
      <c r="BA200" s="1164"/>
      <c r="BB200" s="1164"/>
      <c r="BC200" s="1164"/>
      <c r="BD200" s="1640"/>
      <c r="BE200" s="1164"/>
      <c r="BF200" s="1164"/>
      <c r="BG200" s="548"/>
      <c r="BH200" s="1164"/>
      <c r="BI200" s="1164"/>
      <c r="BJ200" s="1164"/>
      <c r="BK200" s="1164"/>
      <c r="BL200" s="1164"/>
      <c r="BM200" s="1636"/>
      <c r="BN200" s="570"/>
      <c r="BO200" s="570"/>
      <c r="BP200" s="570"/>
      <c r="BQ200" s="570"/>
      <c r="BR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W201" s="1164"/>
      <c r="AX201" s="1640"/>
      <c r="AY201" s="1640"/>
      <c r="AZ201" s="1164"/>
      <c r="BA201" s="1164"/>
      <c r="BB201" s="1164"/>
      <c r="BC201" s="1164"/>
      <c r="BD201" s="1640"/>
      <c r="BE201" s="1164"/>
      <c r="BF201" s="1164"/>
      <c r="BG201" s="548"/>
      <c r="BH201" s="1164"/>
      <c r="BI201" s="1164"/>
      <c r="BJ201" s="1164"/>
      <c r="BK201" s="1164"/>
      <c r="BL201" s="1164"/>
      <c r="BM201" s="1636"/>
      <c r="BN201" s="570"/>
      <c r="BO201" s="570"/>
      <c r="BP201" s="570"/>
      <c r="BQ201" s="570"/>
      <c r="BR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W202" s="1164"/>
      <c r="AX202" s="1640"/>
      <c r="AY202" s="1640"/>
      <c r="AZ202" s="1164"/>
      <c r="BA202" s="1164"/>
      <c r="BB202" s="1164"/>
      <c r="BC202" s="1164"/>
      <c r="BD202" s="1640"/>
      <c r="BE202" s="1164"/>
      <c r="BF202" s="1164"/>
      <c r="BG202" s="548"/>
      <c r="BH202" s="1164"/>
      <c r="BI202" s="1164"/>
      <c r="BJ202" s="1164"/>
      <c r="BK202" s="1164"/>
      <c r="BL202" s="1164"/>
      <c r="BM202" s="1636"/>
      <c r="BN202" s="570"/>
      <c r="BO202" s="570"/>
      <c r="BP202" s="570"/>
      <c r="BQ202" s="570"/>
      <c r="BR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M203" s="1645"/>
      <c r="AN203" s="1645"/>
      <c r="AO203" s="1645"/>
      <c r="AP203" s="1645"/>
      <c r="AQ203" s="1645"/>
      <c r="AR203" s="1645"/>
      <c r="AS203" s="1645"/>
      <c r="AT203" s="1645"/>
      <c r="AU203" s="1645"/>
      <c r="AW203" s="1164"/>
      <c r="AX203" s="1640"/>
      <c r="AY203" s="1640"/>
      <c r="AZ203" s="1164"/>
      <c r="BA203" s="1164"/>
      <c r="BB203" s="1164"/>
      <c r="BC203" s="1164"/>
      <c r="BD203" s="1640"/>
      <c r="BE203" s="1164"/>
      <c r="BF203" s="1164"/>
      <c r="BG203" s="548"/>
      <c r="BH203" s="1164"/>
      <c r="BI203" s="1164"/>
      <c r="BJ203" s="1164"/>
      <c r="BK203" s="1164"/>
      <c r="BL203" s="1164"/>
      <c r="BM203" s="1636"/>
      <c r="BN203" s="570"/>
      <c r="BO203" s="570"/>
      <c r="BP203" s="570"/>
      <c r="BQ203" s="570"/>
      <c r="BR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M204" s="1645"/>
      <c r="AN204" s="1645"/>
      <c r="AO204" s="1645"/>
      <c r="AP204" s="1645"/>
      <c r="AQ204" s="1645"/>
      <c r="AR204" s="1645"/>
      <c r="AS204" s="1645"/>
      <c r="AT204" s="1645"/>
      <c r="AU204" s="1645"/>
      <c r="AW204" s="1164"/>
      <c r="AX204" s="1640"/>
      <c r="AY204" s="1640"/>
      <c r="AZ204" s="1164"/>
      <c r="BA204" s="1164"/>
      <c r="BB204" s="1164"/>
      <c r="BC204" s="1164"/>
      <c r="BD204" s="1640"/>
      <c r="BE204" s="1164"/>
      <c r="BF204" s="1164"/>
      <c r="BG204" s="548"/>
      <c r="BH204" s="1164"/>
      <c r="BI204" s="1164"/>
      <c r="BJ204" s="1164"/>
      <c r="BK204" s="1164"/>
      <c r="BL204" s="1164"/>
      <c r="BM204" s="1636"/>
      <c r="BN204" s="570"/>
      <c r="BO204" s="570"/>
      <c r="BP204" s="570"/>
      <c r="BQ204" s="570"/>
      <c r="BR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c r="AK205" s="1645"/>
      <c r="AL205" s="1645"/>
      <c r="AM205" s="1645"/>
      <c r="AN205" s="1645"/>
      <c r="AO205" s="1645"/>
      <c r="AP205" s="1645"/>
      <c r="AQ205" s="1645"/>
      <c r="AR205" s="1645"/>
      <c r="AS205" s="1645"/>
      <c r="AT205" s="1645"/>
      <c r="AU205" s="1645"/>
      <c r="AW205" s="1164"/>
      <c r="AX205" s="1640"/>
      <c r="AY205" s="1640"/>
      <c r="AZ205" s="1164"/>
      <c r="BA205" s="1164"/>
      <c r="BB205" s="1164"/>
      <c r="BC205" s="1164"/>
      <c r="BD205" s="1640"/>
      <c r="BE205" s="1164"/>
      <c r="BF205" s="1164"/>
      <c r="BG205" s="548"/>
      <c r="BH205" s="1164"/>
      <c r="BI205" s="1164"/>
      <c r="BJ205" s="1164"/>
      <c r="BK205" s="1164"/>
      <c r="BL205" s="1164"/>
      <c r="BM205" s="1636"/>
      <c r="BN205" s="570"/>
      <c r="BO205" s="570"/>
      <c r="BP205" s="570"/>
      <c r="BQ205" s="570"/>
      <c r="BR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M206" s="1645"/>
      <c r="AN206" s="1645"/>
      <c r="AO206" s="1645"/>
      <c r="AP206" s="1645"/>
      <c r="AQ206" s="1645"/>
      <c r="AR206" s="1645"/>
      <c r="AS206" s="1645"/>
      <c r="AT206" s="1645"/>
      <c r="AU206" s="1645"/>
      <c r="AW206" s="1164"/>
      <c r="AX206" s="1640"/>
      <c r="AY206" s="1640"/>
      <c r="AZ206" s="1164"/>
      <c r="BA206" s="1164"/>
      <c r="BB206" s="1164"/>
      <c r="BC206" s="1164"/>
      <c r="BD206" s="1640"/>
      <c r="BE206" s="1164"/>
      <c r="BF206" s="1164"/>
      <c r="BG206" s="548"/>
      <c r="BH206" s="1164"/>
      <c r="BI206" s="1164"/>
      <c r="BJ206" s="1164"/>
      <c r="BK206" s="1164"/>
      <c r="BL206" s="1164"/>
      <c r="BM206" s="1636"/>
      <c r="BN206" s="570"/>
      <c r="BO206" s="570"/>
      <c r="BP206" s="570"/>
      <c r="BQ206" s="570"/>
      <c r="BR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M207" s="1645"/>
      <c r="AN207" s="1645"/>
      <c r="AO207" s="1645"/>
      <c r="AP207" s="1645"/>
      <c r="AQ207" s="1645"/>
      <c r="AR207" s="1645"/>
      <c r="AS207" s="1645"/>
      <c r="AT207" s="1645"/>
      <c r="AU207" s="1645"/>
      <c r="AW207" s="1164"/>
      <c r="AX207" s="1640"/>
      <c r="AY207" s="1640"/>
      <c r="AZ207" s="1164"/>
      <c r="BA207" s="1164"/>
      <c r="BB207" s="1164"/>
      <c r="BC207" s="1164"/>
      <c r="BD207" s="1640"/>
      <c r="BE207" s="1164"/>
      <c r="BF207" s="1164"/>
      <c r="BG207" s="548"/>
      <c r="BH207" s="1164"/>
      <c r="BI207" s="1164"/>
      <c r="BJ207" s="1164"/>
      <c r="BK207" s="1164"/>
      <c r="BL207" s="1164"/>
      <c r="BM207" s="1636"/>
      <c r="BN207" s="570"/>
      <c r="BO207" s="570"/>
      <c r="BP207" s="570"/>
      <c r="BQ207" s="570"/>
      <c r="BR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X208" s="1645"/>
      <c r="Y208" s="1645"/>
      <c r="Z208" s="1645"/>
      <c r="AA208" s="1645"/>
      <c r="AB208" s="1645"/>
      <c r="AC208" s="1645"/>
      <c r="AD208" s="1645"/>
      <c r="AE208" s="1645"/>
      <c r="AF208" s="1645"/>
      <c r="AG208" s="1645"/>
      <c r="AH208" s="1645"/>
      <c r="AI208" s="1645"/>
      <c r="AJ208" s="1645"/>
      <c r="AK208" s="1645"/>
      <c r="AL208" s="1645"/>
      <c r="AM208" s="1645"/>
      <c r="AN208" s="1645"/>
      <c r="AO208" s="1645"/>
      <c r="AP208" s="1645"/>
      <c r="AQ208" s="1645"/>
      <c r="AR208" s="1645"/>
      <c r="AS208" s="1645"/>
      <c r="AT208" s="1645"/>
      <c r="AU208" s="1645"/>
      <c r="AW208" s="1164"/>
      <c r="AX208" s="1640"/>
      <c r="AY208" s="1640"/>
      <c r="AZ208" s="1164"/>
      <c r="BA208" s="1164"/>
      <c r="BB208" s="1164"/>
      <c r="BC208" s="1164"/>
      <c r="BD208" s="1640"/>
      <c r="BE208" s="1164"/>
      <c r="BF208" s="1164"/>
      <c r="BG208" s="548"/>
      <c r="BH208" s="1164"/>
      <c r="BI208" s="1164"/>
      <c r="BJ208" s="1164"/>
      <c r="BK208" s="1164"/>
      <c r="BL208" s="1164"/>
      <c r="BM208" s="1636"/>
      <c r="BN208" s="570"/>
      <c r="BO208" s="570"/>
      <c r="BP208" s="570"/>
      <c r="BQ208" s="570"/>
      <c r="BR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X209" s="1645"/>
      <c r="Y209" s="1645"/>
      <c r="Z209" s="1645"/>
      <c r="AA209" s="1645"/>
      <c r="AB209" s="1645"/>
      <c r="AC209" s="1645"/>
      <c r="AD209" s="1645"/>
      <c r="AE209" s="1645"/>
      <c r="AF209" s="1645"/>
      <c r="AG209" s="1645"/>
      <c r="AH209" s="1645"/>
      <c r="AI209" s="1645"/>
      <c r="AJ209" s="1645"/>
      <c r="AK209" s="1645"/>
      <c r="AL209" s="1645"/>
      <c r="AM209" s="1645"/>
      <c r="AN209" s="1645"/>
      <c r="AO209" s="1645"/>
      <c r="AP209" s="1645"/>
      <c r="AQ209" s="1645"/>
      <c r="AR209" s="1645"/>
      <c r="AS209" s="1645"/>
      <c r="AT209" s="1645"/>
      <c r="AU209" s="1645"/>
      <c r="AW209" s="1164"/>
      <c r="AX209" s="1640"/>
      <c r="AY209" s="1640"/>
      <c r="AZ209" s="1164"/>
      <c r="BA209" s="1164"/>
      <c r="BB209" s="1164"/>
      <c r="BC209" s="1164"/>
      <c r="BD209" s="1640"/>
      <c r="BE209" s="1164"/>
      <c r="BF209" s="1164"/>
      <c r="BG209" s="548"/>
      <c r="BH209" s="1164"/>
      <c r="BI209" s="1164"/>
      <c r="BJ209" s="1164"/>
      <c r="BK209" s="1164"/>
      <c r="BL209" s="1164"/>
      <c r="BM209" s="1636"/>
      <c r="BN209" s="570"/>
      <c r="BO209" s="570"/>
      <c r="BP209" s="570"/>
      <c r="BQ209" s="570"/>
      <c r="BR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5"/>
      <c r="AL210" s="1645"/>
      <c r="AM210" s="1645"/>
      <c r="AN210" s="1645"/>
      <c r="AO210" s="1645"/>
      <c r="AP210" s="1645"/>
      <c r="AQ210" s="1645"/>
      <c r="AR210" s="1645"/>
      <c r="AS210" s="1645"/>
      <c r="AT210" s="1645"/>
      <c r="AU210" s="1645"/>
      <c r="AW210" s="1164"/>
      <c r="AX210" s="1640"/>
      <c r="AY210" s="1640"/>
      <c r="AZ210" s="1164"/>
      <c r="BA210" s="1164"/>
      <c r="BB210" s="1164"/>
      <c r="BC210" s="1164"/>
      <c r="BD210" s="1640"/>
      <c r="BE210" s="1164"/>
      <c r="BF210" s="1164"/>
      <c r="BG210" s="548"/>
      <c r="BH210" s="1164"/>
      <c r="BI210" s="1164"/>
      <c r="BJ210" s="1164"/>
      <c r="BK210" s="1164"/>
      <c r="BL210" s="1164"/>
      <c r="BM210" s="1636"/>
      <c r="BN210" s="570"/>
      <c r="BO210" s="570"/>
      <c r="BP210" s="570"/>
      <c r="BQ210" s="570"/>
      <c r="BR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X211" s="1645"/>
      <c r="Y211" s="1645"/>
      <c r="Z211" s="1645"/>
      <c r="AA211" s="1645"/>
      <c r="AB211" s="1645"/>
      <c r="AC211" s="1645"/>
      <c r="AD211" s="1645"/>
      <c r="AE211" s="1645"/>
      <c r="AF211" s="1645"/>
      <c r="AG211" s="1645"/>
      <c r="AH211" s="1645"/>
      <c r="AI211" s="1645"/>
      <c r="AJ211" s="1645"/>
      <c r="AK211" s="1645"/>
      <c r="AL211" s="1645"/>
      <c r="AM211" s="1645"/>
      <c r="AN211" s="1645"/>
      <c r="AO211" s="1645"/>
      <c r="AP211" s="1645"/>
      <c r="AQ211" s="1645"/>
      <c r="AR211" s="1645"/>
      <c r="AS211" s="1645"/>
      <c r="AT211" s="1645"/>
      <c r="AU211" s="1645"/>
      <c r="AW211" s="1164"/>
      <c r="AX211" s="1640"/>
      <c r="AY211" s="1640"/>
      <c r="AZ211" s="1164"/>
      <c r="BA211" s="1164"/>
      <c r="BB211" s="1164"/>
      <c r="BC211" s="1164"/>
      <c r="BD211" s="1640"/>
      <c r="BE211" s="1164"/>
      <c r="BF211" s="1164"/>
      <c r="BG211" s="548"/>
      <c r="BH211" s="1164"/>
      <c r="BI211" s="1164"/>
      <c r="BJ211" s="1164"/>
      <c r="BK211" s="1164"/>
      <c r="BL211" s="1164"/>
      <c r="BM211" s="1636"/>
      <c r="BN211" s="570"/>
      <c r="BO211" s="570"/>
      <c r="BP211" s="570"/>
      <c r="BQ211" s="570"/>
      <c r="BR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X212" s="1645"/>
      <c r="Y212" s="1645"/>
      <c r="Z212" s="1645"/>
      <c r="AA212" s="1645"/>
      <c r="AB212" s="1645"/>
      <c r="AC212" s="1645"/>
      <c r="AD212" s="1645"/>
      <c r="AE212" s="1645"/>
      <c r="AF212" s="1645"/>
      <c r="AG212" s="1645"/>
      <c r="AH212" s="1645"/>
      <c r="AI212" s="1645"/>
      <c r="AJ212" s="1645"/>
      <c r="AK212" s="1645"/>
      <c r="AL212" s="1645"/>
      <c r="AM212" s="1645"/>
      <c r="AN212" s="1645"/>
      <c r="AO212" s="1645"/>
      <c r="AP212" s="1645"/>
      <c r="AQ212" s="1645"/>
      <c r="AR212" s="1645"/>
      <c r="AS212" s="1645"/>
      <c r="AT212" s="1645"/>
      <c r="AU212" s="1645"/>
      <c r="AW212" s="1164"/>
      <c r="AX212" s="1640"/>
      <c r="AY212" s="1640"/>
      <c r="AZ212" s="1164"/>
      <c r="BA212" s="1164"/>
      <c r="BB212" s="1164"/>
      <c r="BC212" s="1164"/>
      <c r="BD212" s="1640"/>
      <c r="BE212" s="1164"/>
      <c r="BF212" s="1164"/>
      <c r="BG212" s="548"/>
      <c r="BH212" s="1164"/>
      <c r="BI212" s="1164"/>
      <c r="BJ212" s="1164"/>
      <c r="BK212" s="1164"/>
      <c r="BL212" s="1164"/>
      <c r="BM212" s="1636"/>
      <c r="BN212" s="570"/>
      <c r="BO212" s="570"/>
      <c r="BP212" s="570"/>
      <c r="BQ212" s="570"/>
      <c r="BR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M213" s="1645"/>
      <c r="AN213" s="1645"/>
      <c r="AO213" s="1645"/>
      <c r="AP213" s="1645"/>
      <c r="AQ213" s="1645"/>
      <c r="AR213" s="1645"/>
      <c r="AS213" s="1645"/>
      <c r="AT213" s="1645"/>
      <c r="AU213" s="1645"/>
      <c r="AW213" s="1164"/>
      <c r="AX213" s="1640"/>
      <c r="AY213" s="1640"/>
      <c r="AZ213" s="1164"/>
      <c r="BA213" s="1164"/>
      <c r="BB213" s="1164"/>
      <c r="BC213" s="1164"/>
      <c r="BD213" s="1640"/>
      <c r="BE213" s="1164"/>
      <c r="BF213" s="1164"/>
      <c r="BG213" s="548"/>
      <c r="BH213" s="1164"/>
      <c r="BI213" s="1164"/>
      <c r="BJ213" s="1164"/>
      <c r="BK213" s="1164"/>
      <c r="BL213" s="1164"/>
      <c r="BM213" s="1636"/>
      <c r="BN213" s="570"/>
      <c r="BO213" s="570"/>
      <c r="BP213" s="570"/>
      <c r="BQ213" s="570"/>
      <c r="BR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X214" s="1645"/>
      <c r="Y214" s="1645"/>
      <c r="Z214" s="1645"/>
      <c r="AA214" s="1645"/>
      <c r="AB214" s="1645"/>
      <c r="AC214" s="1645"/>
      <c r="AD214" s="1645"/>
      <c r="AE214" s="1645"/>
      <c r="AF214" s="1645"/>
      <c r="AG214" s="1645"/>
      <c r="AH214" s="1645"/>
      <c r="AI214" s="1645"/>
      <c r="AJ214" s="1645"/>
      <c r="AK214" s="1645"/>
      <c r="AL214" s="1645"/>
      <c r="AM214" s="1645"/>
      <c r="AN214" s="1645"/>
      <c r="AO214" s="1645"/>
      <c r="AP214" s="1645"/>
      <c r="AQ214" s="1645"/>
      <c r="AR214" s="1645"/>
      <c r="AS214" s="1645"/>
      <c r="AT214" s="1645"/>
      <c r="AU214" s="1645"/>
      <c r="AW214" s="1164"/>
      <c r="AX214" s="1640"/>
      <c r="AY214" s="1640"/>
      <c r="AZ214" s="1164"/>
      <c r="BA214" s="1164"/>
      <c r="BB214" s="1164"/>
      <c r="BC214" s="1164"/>
      <c r="BD214" s="1640"/>
      <c r="BE214" s="1164"/>
      <c r="BF214" s="1164"/>
      <c r="BG214" s="548"/>
      <c r="BH214" s="1164"/>
      <c r="BI214" s="1164"/>
      <c r="BJ214" s="1164"/>
      <c r="BK214" s="1164"/>
      <c r="BL214" s="1164"/>
      <c r="BM214" s="1636"/>
      <c r="BN214" s="570"/>
      <c r="BO214" s="570"/>
      <c r="BP214" s="570"/>
      <c r="BQ214" s="570"/>
      <c r="BR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X215" s="1645"/>
      <c r="Y215" s="1645"/>
      <c r="Z215" s="1645"/>
      <c r="AA215" s="1645"/>
      <c r="AB215" s="1645"/>
      <c r="AC215" s="1645"/>
      <c r="AD215" s="1645"/>
      <c r="AE215" s="1645"/>
      <c r="AF215" s="1645"/>
      <c r="AG215" s="1645"/>
      <c r="AH215" s="1645"/>
      <c r="AI215" s="1645"/>
      <c r="AJ215" s="1645"/>
      <c r="AK215" s="1645"/>
      <c r="AL215" s="1645"/>
      <c r="AM215" s="1645"/>
      <c r="AN215" s="1645"/>
      <c r="AO215" s="1645"/>
      <c r="AP215" s="1645"/>
      <c r="AQ215" s="1645"/>
      <c r="AR215" s="1645"/>
      <c r="AS215" s="1645"/>
      <c r="AT215" s="1645"/>
      <c r="AU215" s="1645"/>
      <c r="AW215" s="1164"/>
      <c r="AX215" s="1640"/>
      <c r="AY215" s="1640"/>
      <c r="AZ215" s="1164"/>
      <c r="BA215" s="1164"/>
      <c r="BB215" s="1164"/>
      <c r="BC215" s="1164"/>
      <c r="BD215" s="1640"/>
      <c r="BE215" s="1164"/>
      <c r="BF215" s="1164"/>
      <c r="BG215" s="548"/>
      <c r="BH215" s="1164"/>
      <c r="BI215" s="1164"/>
      <c r="BJ215" s="1164"/>
      <c r="BK215" s="1164"/>
      <c r="BL215" s="1164"/>
      <c r="BM215" s="1636"/>
      <c r="BN215" s="570"/>
      <c r="BO215" s="570"/>
      <c r="BP215" s="570"/>
      <c r="BQ215" s="570"/>
      <c r="BR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645"/>
      <c r="AD216" s="1645"/>
      <c r="AE216" s="1645"/>
      <c r="AF216" s="1645"/>
      <c r="AG216" s="1645"/>
      <c r="AH216" s="1645"/>
      <c r="AI216" s="1645"/>
      <c r="AJ216" s="1645"/>
      <c r="AK216" s="1645"/>
      <c r="AL216" s="1645"/>
      <c r="AM216" s="1645"/>
      <c r="AN216" s="1645"/>
      <c r="AO216" s="1645"/>
      <c r="AP216" s="1645"/>
      <c r="AQ216" s="1645"/>
      <c r="AR216" s="1645"/>
      <c r="AS216" s="1645"/>
      <c r="AT216" s="1645"/>
      <c r="AU216" s="1645"/>
      <c r="AW216" s="1164"/>
      <c r="AX216" s="1640"/>
      <c r="AY216" s="1640"/>
      <c r="AZ216" s="1164"/>
      <c r="BA216" s="1164"/>
      <c r="BB216" s="1164"/>
      <c r="BC216" s="1164"/>
      <c r="BD216" s="1640"/>
      <c r="BE216" s="1164"/>
      <c r="BF216" s="1164"/>
      <c r="BG216" s="548"/>
      <c r="BH216" s="1164"/>
      <c r="BI216" s="1164"/>
      <c r="BJ216" s="1164"/>
      <c r="BK216" s="1164"/>
      <c r="BL216" s="1164"/>
      <c r="BM216" s="1636"/>
      <c r="BN216" s="570"/>
      <c r="BO216" s="570"/>
      <c r="BP216" s="570"/>
      <c r="BQ216" s="570"/>
      <c r="BR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X217" s="1645"/>
      <c r="Y217" s="1645"/>
      <c r="Z217" s="1645"/>
      <c r="AA217" s="1645"/>
      <c r="AB217" s="1645"/>
      <c r="AC217" s="1645"/>
      <c r="AD217" s="1645"/>
      <c r="AE217" s="1645"/>
      <c r="AF217" s="1645"/>
      <c r="AG217" s="1645"/>
      <c r="AH217" s="1645"/>
      <c r="AI217" s="1645"/>
      <c r="AJ217" s="1645"/>
      <c r="AK217" s="1645"/>
      <c r="AL217" s="1645"/>
      <c r="AM217" s="1645"/>
      <c r="AN217" s="1645"/>
      <c r="AO217" s="1645"/>
      <c r="AP217" s="1645"/>
      <c r="AQ217" s="1645"/>
      <c r="AR217" s="1645"/>
      <c r="AS217" s="1645"/>
      <c r="AT217" s="1645"/>
      <c r="AU217" s="1645"/>
      <c r="AW217" s="1164"/>
      <c r="AX217" s="1640"/>
      <c r="AY217" s="1640"/>
      <c r="AZ217" s="1164"/>
      <c r="BA217" s="1164"/>
      <c r="BB217" s="1164"/>
      <c r="BC217" s="1164"/>
      <c r="BD217" s="1640"/>
      <c r="BE217" s="1164"/>
      <c r="BF217" s="1164"/>
      <c r="BG217" s="548"/>
      <c r="BH217" s="1164"/>
      <c r="BI217" s="1164"/>
      <c r="BJ217" s="1164"/>
      <c r="BK217" s="1164"/>
      <c r="BL217" s="1164"/>
      <c r="BM217" s="1636"/>
      <c r="BN217" s="570"/>
      <c r="BO217" s="570"/>
      <c r="BP217" s="570"/>
      <c r="BQ217" s="570"/>
      <c r="BR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X218" s="1645"/>
      <c r="Y218" s="1645"/>
      <c r="Z218" s="1645"/>
      <c r="AA218" s="1645"/>
      <c r="AB218" s="1645"/>
      <c r="AC218" s="1645"/>
      <c r="AD218" s="1645"/>
      <c r="AE218" s="1645"/>
      <c r="AF218" s="1645"/>
      <c r="AG218" s="1645"/>
      <c r="AH218" s="1645"/>
      <c r="AI218" s="1645"/>
      <c r="AJ218" s="1645"/>
      <c r="AK218" s="1645"/>
      <c r="AL218" s="1645"/>
      <c r="AM218" s="1645"/>
      <c r="AN218" s="1645"/>
      <c r="AO218" s="1645"/>
      <c r="AP218" s="1645"/>
      <c r="AQ218" s="1645"/>
      <c r="AR218" s="1645"/>
      <c r="AS218" s="1645"/>
      <c r="AT218" s="1645"/>
      <c r="AU218" s="1645"/>
      <c r="AW218" s="1164"/>
      <c r="AX218" s="1640"/>
      <c r="AY218" s="1640"/>
      <c r="AZ218" s="1164"/>
      <c r="BA218" s="1164"/>
      <c r="BB218" s="1164"/>
      <c r="BC218" s="1164"/>
      <c r="BD218" s="1640"/>
      <c r="BE218" s="1164"/>
      <c r="BF218" s="1164"/>
      <c r="BG218" s="548"/>
      <c r="BH218" s="1164"/>
      <c r="BI218" s="1164"/>
      <c r="BJ218" s="1164"/>
      <c r="BK218" s="1164"/>
      <c r="BL218" s="1164"/>
      <c r="BM218" s="1636"/>
      <c r="BN218" s="570"/>
      <c r="BO218" s="570"/>
      <c r="BP218" s="570"/>
      <c r="BQ218" s="570"/>
      <c r="BR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X219" s="1645"/>
      <c r="Y219" s="1645"/>
      <c r="Z219" s="1645"/>
      <c r="AA219" s="1645"/>
      <c r="AB219" s="1645"/>
      <c r="AC219" s="1645"/>
      <c r="AD219" s="1645"/>
      <c r="AE219" s="1645"/>
      <c r="AF219" s="1645"/>
      <c r="AG219" s="1645"/>
      <c r="AH219" s="1645"/>
      <c r="AI219" s="1645"/>
      <c r="AJ219" s="1645"/>
      <c r="AK219" s="1645"/>
      <c r="AL219" s="1645"/>
      <c r="AM219" s="1645"/>
      <c r="AN219" s="1645"/>
      <c r="AO219" s="1645"/>
      <c r="AP219" s="1645"/>
      <c r="AQ219" s="1645"/>
      <c r="AR219" s="1645"/>
      <c r="AS219" s="1645"/>
      <c r="AT219" s="1645"/>
      <c r="AU219" s="1645"/>
      <c r="AW219" s="1164"/>
      <c r="AX219" s="1640"/>
      <c r="AY219" s="1640"/>
      <c r="AZ219" s="1164"/>
      <c r="BA219" s="1164"/>
      <c r="BB219" s="1164"/>
      <c r="BC219" s="1164"/>
      <c r="BD219" s="1640"/>
      <c r="BE219" s="1164"/>
      <c r="BF219" s="1164"/>
      <c r="BG219" s="548"/>
      <c r="BH219" s="1164"/>
      <c r="BI219" s="1164"/>
      <c r="BJ219" s="1164"/>
      <c r="BK219" s="1164"/>
      <c r="BL219" s="1164"/>
      <c r="BM219" s="1636"/>
      <c r="BN219" s="570"/>
      <c r="BO219" s="570"/>
      <c r="BP219" s="570"/>
      <c r="BQ219" s="570"/>
      <c r="BR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M220" s="1645"/>
      <c r="AN220" s="1645"/>
      <c r="AO220" s="1645"/>
      <c r="AP220" s="1645"/>
      <c r="AQ220" s="1645"/>
      <c r="AR220" s="1645"/>
      <c r="AS220" s="1645"/>
      <c r="AT220" s="1645"/>
      <c r="AU220" s="1645"/>
      <c r="AW220" s="1164"/>
      <c r="AX220" s="1640"/>
      <c r="AY220" s="1640"/>
      <c r="AZ220" s="1164"/>
      <c r="BA220" s="1164"/>
      <c r="BB220" s="1164"/>
      <c r="BC220" s="1164"/>
      <c r="BD220" s="1640"/>
      <c r="BE220" s="1164"/>
      <c r="BF220" s="1164"/>
      <c r="BG220" s="548"/>
      <c r="BH220" s="1164"/>
      <c r="BI220" s="1164"/>
      <c r="BJ220" s="1164"/>
      <c r="BK220" s="1164"/>
      <c r="BL220" s="1164"/>
      <c r="BM220" s="1636"/>
      <c r="BN220" s="570"/>
      <c r="BO220" s="570"/>
      <c r="BP220" s="570"/>
      <c r="BQ220" s="570"/>
      <c r="BR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1645"/>
      <c r="AN221" s="1645"/>
      <c r="AO221" s="1645"/>
      <c r="AP221" s="1645"/>
      <c r="AQ221" s="1645"/>
      <c r="AR221" s="1645"/>
      <c r="AS221" s="1645"/>
      <c r="AT221" s="1645"/>
      <c r="AU221" s="1645"/>
      <c r="AW221" s="1164"/>
      <c r="AX221" s="1640"/>
      <c r="AY221" s="1640"/>
      <c r="AZ221" s="1164"/>
      <c r="BA221" s="1164"/>
      <c r="BB221" s="1164"/>
      <c r="BC221" s="1164"/>
      <c r="BD221" s="1640"/>
      <c r="BE221" s="1164"/>
      <c r="BF221" s="1164"/>
      <c r="BG221" s="548"/>
      <c r="BH221" s="1164"/>
      <c r="BI221" s="1164"/>
      <c r="BJ221" s="1164"/>
      <c r="BK221" s="1164"/>
      <c r="BL221" s="1164"/>
      <c r="BM221" s="1636"/>
      <c r="BN221" s="570"/>
      <c r="BO221" s="570"/>
      <c r="BP221" s="570"/>
      <c r="BQ221" s="570"/>
      <c r="BR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1645"/>
      <c r="AN222" s="1645"/>
      <c r="AO222" s="1645"/>
      <c r="AP222" s="1645"/>
      <c r="AQ222" s="1645"/>
      <c r="AR222" s="1645"/>
      <c r="AS222" s="1645"/>
      <c r="AT222" s="1645"/>
      <c r="AU222" s="1645"/>
      <c r="AW222" s="1164"/>
      <c r="AX222" s="1640"/>
      <c r="AY222" s="1640"/>
      <c r="AZ222" s="1164"/>
      <c r="BA222" s="1164"/>
      <c r="BB222" s="1164"/>
      <c r="BC222" s="1164"/>
      <c r="BD222" s="1640"/>
      <c r="BE222" s="1164"/>
      <c r="BF222" s="1164"/>
      <c r="BG222" s="548"/>
      <c r="BH222" s="1164"/>
      <c r="BI222" s="1164"/>
      <c r="BJ222" s="1164"/>
      <c r="BK222" s="1164"/>
      <c r="BL222" s="1164"/>
      <c r="BM222" s="1636"/>
      <c r="BN222" s="570"/>
      <c r="BO222" s="570"/>
      <c r="BP222" s="570"/>
      <c r="BQ222" s="570"/>
      <c r="BR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1645"/>
      <c r="AD223" s="1645"/>
      <c r="AE223" s="1645"/>
      <c r="AF223" s="1645"/>
      <c r="AG223" s="1645"/>
      <c r="AH223" s="1645"/>
      <c r="AI223" s="1645"/>
      <c r="AJ223" s="1645"/>
      <c r="AK223" s="1645"/>
      <c r="AL223" s="1645"/>
      <c r="AM223" s="1645"/>
      <c r="AN223" s="1645"/>
      <c r="AO223" s="1645"/>
      <c r="AP223" s="1645"/>
      <c r="AQ223" s="1645"/>
      <c r="AR223" s="1645"/>
      <c r="AS223" s="1645"/>
      <c r="AT223" s="1645"/>
      <c r="AU223" s="1645"/>
      <c r="AW223" s="1164"/>
      <c r="AX223" s="1640"/>
      <c r="AY223" s="1640"/>
      <c r="AZ223" s="1164"/>
      <c r="BA223" s="1164"/>
      <c r="BB223" s="1164"/>
      <c r="BC223" s="1164"/>
      <c r="BD223" s="1640"/>
      <c r="BE223" s="1164"/>
      <c r="BF223" s="1164"/>
      <c r="BG223" s="548"/>
      <c r="BH223" s="1164"/>
      <c r="BI223" s="1164"/>
      <c r="BJ223" s="1164"/>
      <c r="BK223" s="1164"/>
      <c r="BL223" s="1164"/>
      <c r="BM223" s="1636"/>
      <c r="BN223" s="570"/>
      <c r="BO223" s="570"/>
      <c r="BP223" s="570"/>
      <c r="BQ223" s="570"/>
      <c r="BR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5"/>
      <c r="AL224" s="1645"/>
      <c r="AM224" s="1645"/>
      <c r="AN224" s="1645"/>
      <c r="AO224" s="1645"/>
      <c r="AP224" s="1645"/>
      <c r="AQ224" s="1645"/>
      <c r="AR224" s="1645"/>
      <c r="AS224" s="1645"/>
      <c r="AT224" s="1645"/>
      <c r="AU224" s="1645"/>
      <c r="AW224" s="1164"/>
      <c r="AX224" s="1640"/>
      <c r="AY224" s="1640"/>
      <c r="AZ224" s="1164"/>
      <c r="BA224" s="1164"/>
      <c r="BB224" s="1164"/>
      <c r="BC224" s="1164"/>
      <c r="BD224" s="1640"/>
      <c r="BE224" s="1164"/>
      <c r="BF224" s="1164"/>
      <c r="BG224" s="548"/>
      <c r="BH224" s="1164"/>
      <c r="BI224" s="1164"/>
      <c r="BJ224" s="1164"/>
      <c r="BK224" s="1164"/>
      <c r="BL224" s="1164"/>
      <c r="BM224" s="1636"/>
      <c r="BN224" s="570"/>
      <c r="BO224" s="570"/>
      <c r="BP224" s="570"/>
      <c r="BQ224" s="570"/>
      <c r="BR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1645"/>
      <c r="AD225" s="1645"/>
      <c r="AE225" s="1645"/>
      <c r="AF225" s="1645"/>
      <c r="AG225" s="1645"/>
      <c r="AH225" s="1645"/>
      <c r="AI225" s="1645"/>
      <c r="AJ225" s="1645"/>
      <c r="AK225" s="1645"/>
      <c r="AL225" s="1645"/>
      <c r="AM225" s="1645"/>
      <c r="AN225" s="1645"/>
      <c r="AO225" s="1645"/>
      <c r="AP225" s="1645"/>
      <c r="AQ225" s="1645"/>
      <c r="AR225" s="1645"/>
      <c r="AS225" s="1645"/>
      <c r="AT225" s="1645"/>
      <c r="AU225" s="1645"/>
      <c r="AW225" s="1164"/>
      <c r="AX225" s="1640"/>
      <c r="AY225" s="1640"/>
      <c r="AZ225" s="1164"/>
      <c r="BA225" s="1164"/>
      <c r="BB225" s="1164"/>
      <c r="BC225" s="1164"/>
      <c r="BD225" s="1640"/>
      <c r="BE225" s="1164"/>
      <c r="BF225" s="1164"/>
      <c r="BG225" s="548"/>
      <c r="BH225" s="1164"/>
      <c r="BI225" s="1164"/>
      <c r="BJ225" s="1164"/>
      <c r="BK225" s="1164"/>
      <c r="BL225" s="1164"/>
      <c r="BM225" s="1636"/>
      <c r="BN225" s="570"/>
      <c r="BO225" s="570"/>
      <c r="BP225" s="570"/>
      <c r="BQ225" s="570"/>
      <c r="BR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1645"/>
      <c r="AD226" s="1645"/>
      <c r="AE226" s="1645"/>
      <c r="AF226" s="1645"/>
      <c r="AG226" s="1645"/>
      <c r="AH226" s="1645"/>
      <c r="AI226" s="1645"/>
      <c r="AJ226" s="1645"/>
      <c r="AK226" s="1645"/>
      <c r="AL226" s="1645"/>
      <c r="AM226" s="1645"/>
      <c r="AN226" s="1645"/>
      <c r="AO226" s="1645"/>
      <c r="AP226" s="1645"/>
      <c r="AQ226" s="1645"/>
      <c r="AR226" s="1645"/>
      <c r="AS226" s="1645"/>
      <c r="AT226" s="1645"/>
      <c r="AU226" s="1645"/>
      <c r="AW226" s="1164"/>
      <c r="AX226" s="1640"/>
      <c r="AY226" s="1640"/>
      <c r="AZ226" s="1164"/>
      <c r="BA226" s="1164"/>
      <c r="BB226" s="1164"/>
      <c r="BC226" s="1164"/>
      <c r="BD226" s="1640"/>
      <c r="BE226" s="1164"/>
      <c r="BF226" s="1164"/>
      <c r="BG226" s="548"/>
      <c r="BH226" s="1164"/>
      <c r="BI226" s="1164"/>
      <c r="BJ226" s="1164"/>
      <c r="BK226" s="1164"/>
      <c r="BL226" s="1164"/>
      <c r="BM226" s="1636"/>
      <c r="BN226" s="570"/>
      <c r="BO226" s="570"/>
      <c r="BP226" s="570"/>
      <c r="BQ226" s="570"/>
      <c r="BR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X227" s="1645"/>
      <c r="Y227" s="1645"/>
      <c r="Z227" s="1645"/>
      <c r="AA227" s="1645"/>
      <c r="AB227" s="1645"/>
      <c r="AC227" s="1645"/>
      <c r="AD227" s="1645"/>
      <c r="AE227" s="1645"/>
      <c r="AF227" s="1645"/>
      <c r="AG227" s="1645"/>
      <c r="AH227" s="1645"/>
      <c r="AI227" s="1645"/>
      <c r="AJ227" s="1645"/>
      <c r="AK227" s="1645"/>
      <c r="AL227" s="1645"/>
      <c r="AM227" s="1645"/>
      <c r="AN227" s="1645"/>
      <c r="AO227" s="1645"/>
      <c r="AP227" s="1645"/>
      <c r="AQ227" s="1645"/>
      <c r="AR227" s="1645"/>
      <c r="AS227" s="1645"/>
      <c r="AT227" s="1645"/>
      <c r="AU227" s="1645"/>
      <c r="AW227" s="1164"/>
      <c r="AX227" s="1640"/>
      <c r="AY227" s="1640"/>
      <c r="AZ227" s="1164"/>
      <c r="BA227" s="1164"/>
      <c r="BB227" s="1164"/>
      <c r="BC227" s="1164"/>
      <c r="BD227" s="1640"/>
      <c r="BE227" s="1164"/>
      <c r="BF227" s="1164"/>
      <c r="BG227" s="548"/>
      <c r="BH227" s="1164"/>
      <c r="BI227" s="1164"/>
      <c r="BJ227" s="1164"/>
      <c r="BK227" s="1164"/>
      <c r="BL227" s="1164"/>
      <c r="BM227" s="1636"/>
      <c r="BN227" s="570"/>
      <c r="BO227" s="570"/>
      <c r="BP227" s="570"/>
      <c r="BQ227" s="570"/>
      <c r="BR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X228" s="1645"/>
      <c r="Y228" s="1645"/>
      <c r="Z228" s="1645"/>
      <c r="AA228" s="1645"/>
      <c r="AB228" s="1645"/>
      <c r="AC228" s="1645"/>
      <c r="AD228" s="1645"/>
      <c r="AE228" s="1645"/>
      <c r="AF228" s="1645"/>
      <c r="AG228" s="1645"/>
      <c r="AH228" s="1645"/>
      <c r="AI228" s="1645"/>
      <c r="AJ228" s="1645"/>
      <c r="AK228" s="1645"/>
      <c r="AL228" s="1645"/>
      <c r="AM228" s="1645"/>
      <c r="AN228" s="1645"/>
      <c r="AO228" s="1645"/>
      <c r="AP228" s="1645"/>
      <c r="AQ228" s="1645"/>
      <c r="AR228" s="1645"/>
      <c r="AS228" s="1645"/>
      <c r="AT228" s="1645"/>
      <c r="AU228" s="1645"/>
      <c r="AW228" s="1164"/>
      <c r="AX228" s="1640"/>
      <c r="AY228" s="1640"/>
      <c r="AZ228" s="1164"/>
      <c r="BA228" s="1164"/>
      <c r="BB228" s="1164"/>
      <c r="BC228" s="1164"/>
      <c r="BD228" s="1640"/>
      <c r="BE228" s="1164"/>
      <c r="BF228" s="1164"/>
      <c r="BG228" s="548"/>
      <c r="BH228" s="1164"/>
      <c r="BI228" s="1164"/>
      <c r="BJ228" s="1164"/>
      <c r="BK228" s="1164"/>
      <c r="BL228" s="1164"/>
      <c r="BM228" s="1636"/>
      <c r="BN228" s="570"/>
      <c r="BO228" s="570"/>
      <c r="BP228" s="570"/>
      <c r="BQ228" s="570"/>
      <c r="BR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X229" s="1645"/>
      <c r="Y229" s="1645"/>
      <c r="Z229" s="1645"/>
      <c r="AA229" s="1645"/>
      <c r="AB229" s="1645"/>
      <c r="AC229" s="1645"/>
      <c r="AD229" s="1645"/>
      <c r="AE229" s="1645"/>
      <c r="AF229" s="1645"/>
      <c r="AG229" s="1645"/>
      <c r="AH229" s="1645"/>
      <c r="AI229" s="1645"/>
      <c r="AJ229" s="1645"/>
      <c r="AK229" s="1645"/>
      <c r="AL229" s="1645"/>
      <c r="AM229" s="1645"/>
      <c r="AN229" s="1645"/>
      <c r="AO229" s="1645"/>
      <c r="AP229" s="1645"/>
      <c r="AQ229" s="1645"/>
      <c r="AR229" s="1645"/>
      <c r="AS229" s="1645"/>
      <c r="AT229" s="1645"/>
      <c r="AU229" s="1645"/>
      <c r="AW229" s="1164"/>
      <c r="AX229" s="1640"/>
      <c r="AY229" s="1640"/>
      <c r="AZ229" s="1164"/>
      <c r="BA229" s="1164"/>
      <c r="BB229" s="1164"/>
      <c r="BC229" s="1164"/>
      <c r="BD229" s="1640"/>
      <c r="BE229" s="1164"/>
      <c r="BF229" s="1164"/>
      <c r="BG229" s="548"/>
      <c r="BH229" s="1164"/>
      <c r="BI229" s="1164"/>
      <c r="BJ229" s="1164"/>
      <c r="BK229" s="1164"/>
      <c r="BL229" s="1164"/>
      <c r="BM229" s="1636"/>
      <c r="BN229" s="570"/>
      <c r="BO229" s="570"/>
      <c r="BP229" s="570"/>
      <c r="BQ229" s="570"/>
      <c r="BR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X230" s="1645"/>
      <c r="Y230" s="1645"/>
      <c r="Z230" s="1645"/>
      <c r="AA230" s="1645"/>
      <c r="AB230" s="1645"/>
      <c r="AC230" s="1645"/>
      <c r="AD230" s="1645"/>
      <c r="AE230" s="1645"/>
      <c r="AF230" s="1645"/>
      <c r="AG230" s="1645"/>
      <c r="AH230" s="1645"/>
      <c r="AI230" s="1645"/>
      <c r="AJ230" s="1645"/>
      <c r="AK230" s="1645"/>
      <c r="AL230" s="1645"/>
      <c r="AM230" s="1645"/>
      <c r="AN230" s="1645"/>
      <c r="AO230" s="1645"/>
      <c r="AP230" s="1645"/>
      <c r="AQ230" s="1645"/>
      <c r="AR230" s="1645"/>
      <c r="AS230" s="1645"/>
      <c r="AT230" s="1645"/>
      <c r="AU230" s="1645"/>
      <c r="AW230" s="1164"/>
      <c r="AX230" s="1640"/>
      <c r="AY230" s="1640"/>
      <c r="AZ230" s="1164"/>
      <c r="BA230" s="1164"/>
      <c r="BB230" s="1164"/>
      <c r="BC230" s="1164"/>
      <c r="BD230" s="1640"/>
      <c r="BE230" s="1164"/>
      <c r="BF230" s="1164"/>
      <c r="BG230" s="548"/>
      <c r="BH230" s="1164"/>
      <c r="BI230" s="1164"/>
      <c r="BJ230" s="1164"/>
      <c r="BK230" s="1164"/>
      <c r="BL230" s="1164"/>
      <c r="BM230" s="1636"/>
      <c r="BN230" s="570"/>
      <c r="BO230" s="570"/>
      <c r="BP230" s="570"/>
      <c r="BQ230" s="570"/>
      <c r="BR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X231" s="1645"/>
      <c r="Y231" s="1645"/>
      <c r="Z231" s="1645"/>
      <c r="AA231" s="1645"/>
      <c r="AB231" s="1645"/>
      <c r="AC231" s="1645"/>
      <c r="AD231" s="1645"/>
      <c r="AE231" s="1645"/>
      <c r="AF231" s="1645"/>
      <c r="AG231" s="1645"/>
      <c r="AH231" s="1645"/>
      <c r="AI231" s="1645"/>
      <c r="AJ231" s="1645"/>
      <c r="AK231" s="1645"/>
      <c r="AL231" s="1645"/>
      <c r="AM231" s="1645"/>
      <c r="AN231" s="1645"/>
      <c r="AO231" s="1645"/>
      <c r="AP231" s="1645"/>
      <c r="AQ231" s="1645"/>
      <c r="AR231" s="1645"/>
      <c r="AS231" s="1645"/>
      <c r="AT231" s="1645"/>
      <c r="AU231" s="1645"/>
      <c r="AW231" s="1164"/>
      <c r="AX231" s="1640"/>
      <c r="AY231" s="1640"/>
      <c r="AZ231" s="1164"/>
      <c r="BA231" s="1164"/>
      <c r="BB231" s="1164"/>
      <c r="BC231" s="1164"/>
      <c r="BD231" s="1640"/>
      <c r="BE231" s="1164"/>
      <c r="BF231" s="1164"/>
      <c r="BG231" s="548"/>
      <c r="BH231" s="1164"/>
      <c r="BI231" s="1164"/>
      <c r="BJ231" s="1164"/>
      <c r="BK231" s="1164"/>
      <c r="BL231" s="1164"/>
      <c r="BM231" s="1636"/>
      <c r="BN231" s="570"/>
      <c r="BO231" s="570"/>
      <c r="BP231" s="570"/>
      <c r="BQ231" s="570"/>
      <c r="BR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X232" s="1645"/>
      <c r="Y232" s="1645"/>
      <c r="Z232" s="1645"/>
      <c r="AA232" s="1645"/>
      <c r="AB232" s="1645"/>
      <c r="AC232" s="1645"/>
      <c r="AD232" s="1645"/>
      <c r="AE232" s="1645"/>
      <c r="AF232" s="1645"/>
      <c r="AG232" s="1645"/>
      <c r="AH232" s="1645"/>
      <c r="AI232" s="1645"/>
      <c r="AJ232" s="1645"/>
      <c r="AK232" s="1645"/>
      <c r="AL232" s="1645"/>
      <c r="AM232" s="1645"/>
      <c r="AN232" s="1645"/>
      <c r="AO232" s="1645"/>
      <c r="AP232" s="1645"/>
      <c r="AQ232" s="1645"/>
      <c r="AR232" s="1645"/>
      <c r="AS232" s="1645"/>
      <c r="AT232" s="1645"/>
      <c r="AU232" s="1645"/>
      <c r="AW232" s="1164"/>
      <c r="AX232" s="1640"/>
      <c r="AY232" s="1640"/>
      <c r="AZ232" s="1164"/>
      <c r="BA232" s="1164"/>
      <c r="BB232" s="1164"/>
      <c r="BC232" s="1164"/>
      <c r="BD232" s="1640"/>
      <c r="BE232" s="1164"/>
      <c r="BF232" s="1164"/>
      <c r="BG232" s="548"/>
      <c r="BH232" s="1164"/>
      <c r="BI232" s="1164"/>
      <c r="BJ232" s="1164"/>
      <c r="BK232" s="1164"/>
      <c r="BL232" s="1164"/>
      <c r="BM232" s="1636"/>
      <c r="BN232" s="570"/>
      <c r="BO232" s="570"/>
      <c r="BP232" s="570"/>
      <c r="BQ232" s="570"/>
      <c r="BR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X233" s="1645"/>
      <c r="Y233" s="1645"/>
      <c r="Z233" s="1645"/>
      <c r="AA233" s="1645"/>
      <c r="AB233" s="1645"/>
      <c r="AC233" s="1645"/>
      <c r="AD233" s="1645"/>
      <c r="AE233" s="1645"/>
      <c r="AF233" s="1645"/>
      <c r="AG233" s="1645"/>
      <c r="AH233" s="1645"/>
      <c r="AI233" s="1645"/>
      <c r="AJ233" s="1645"/>
      <c r="AK233" s="1645"/>
      <c r="AL233" s="1645"/>
      <c r="AM233" s="1645"/>
      <c r="AN233" s="1645"/>
      <c r="AO233" s="1645"/>
      <c r="AP233" s="1645"/>
      <c r="AQ233" s="1645"/>
      <c r="AR233" s="1645"/>
      <c r="AS233" s="1645"/>
      <c r="AT233" s="1645"/>
      <c r="AU233" s="1645"/>
      <c r="AW233" s="1164"/>
      <c r="AX233" s="1640"/>
      <c r="AY233" s="1640"/>
      <c r="AZ233" s="1164"/>
      <c r="BA233" s="1164"/>
      <c r="BB233" s="1164"/>
      <c r="BC233" s="1164"/>
      <c r="BD233" s="1640"/>
      <c r="BE233" s="1164"/>
      <c r="BF233" s="1164"/>
      <c r="BG233" s="548"/>
      <c r="BH233" s="1164"/>
      <c r="BI233" s="1164"/>
      <c r="BJ233" s="1164"/>
      <c r="BK233" s="1164"/>
      <c r="BL233" s="1164"/>
      <c r="BM233" s="1636"/>
      <c r="BN233" s="570"/>
      <c r="BO233" s="570"/>
      <c r="BP233" s="570"/>
      <c r="BQ233" s="570"/>
      <c r="BR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1645"/>
      <c r="AD234" s="1645"/>
      <c r="AE234" s="1645"/>
      <c r="AF234" s="1645"/>
      <c r="AG234" s="1645"/>
      <c r="AH234" s="1645"/>
      <c r="AI234" s="1645"/>
      <c r="AJ234" s="1645"/>
      <c r="AK234" s="1645"/>
      <c r="AL234" s="1645"/>
      <c r="AM234" s="1645"/>
      <c r="AN234" s="1645"/>
      <c r="AO234" s="1645"/>
      <c r="AP234" s="1645"/>
      <c r="AQ234" s="1645"/>
      <c r="AR234" s="1645"/>
      <c r="AS234" s="1645"/>
      <c r="AT234" s="1645"/>
      <c r="AU234" s="1645"/>
      <c r="AW234" s="1164"/>
      <c r="AX234" s="1640"/>
      <c r="AY234" s="1640"/>
      <c r="AZ234" s="1164"/>
      <c r="BA234" s="1164"/>
      <c r="BB234" s="1164"/>
      <c r="BC234" s="1164"/>
      <c r="BD234" s="1640"/>
      <c r="BE234" s="1164"/>
      <c r="BF234" s="1164"/>
      <c r="BG234" s="548"/>
      <c r="BH234" s="1164"/>
      <c r="BI234" s="1164"/>
      <c r="BJ234" s="1164"/>
      <c r="BK234" s="1164"/>
      <c r="BL234" s="1164"/>
      <c r="BM234" s="1636"/>
      <c r="BN234" s="570"/>
      <c r="BO234" s="570"/>
      <c r="BP234" s="570"/>
      <c r="BQ234" s="570"/>
      <c r="BR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1645"/>
      <c r="AD235" s="1645"/>
      <c r="AE235" s="1645"/>
      <c r="AF235" s="1645"/>
      <c r="AG235" s="1645"/>
      <c r="AH235" s="1645"/>
      <c r="AI235" s="1645"/>
      <c r="AJ235" s="1645"/>
      <c r="AK235" s="1645"/>
      <c r="AL235" s="1645"/>
      <c r="AM235" s="1645"/>
      <c r="AN235" s="1645"/>
      <c r="AO235" s="1645"/>
      <c r="AP235" s="1645"/>
      <c r="AQ235" s="1645"/>
      <c r="AR235" s="1645"/>
      <c r="AS235" s="1645"/>
      <c r="AT235" s="1645"/>
      <c r="AU235" s="1645"/>
      <c r="AW235" s="1164"/>
      <c r="AX235" s="1640"/>
      <c r="AY235" s="1640"/>
      <c r="AZ235" s="1164"/>
      <c r="BA235" s="1164"/>
      <c r="BB235" s="1164"/>
      <c r="BC235" s="1164"/>
      <c r="BD235" s="1640"/>
      <c r="BE235" s="1164"/>
      <c r="BF235" s="1164"/>
      <c r="BG235" s="548"/>
      <c r="BH235" s="1164"/>
      <c r="BI235" s="1164"/>
      <c r="BJ235" s="1164"/>
      <c r="BK235" s="1164"/>
      <c r="BL235" s="1164"/>
      <c r="BM235" s="1636"/>
      <c r="BN235" s="570"/>
      <c r="BO235" s="570"/>
      <c r="BP235" s="570"/>
      <c r="BQ235" s="570"/>
      <c r="BR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1645"/>
      <c r="AD236" s="1645"/>
      <c r="AE236" s="1645"/>
      <c r="AF236" s="1645"/>
      <c r="AG236" s="1645"/>
      <c r="AH236" s="1645"/>
      <c r="AI236" s="1645"/>
      <c r="AJ236" s="1645"/>
      <c r="AK236" s="1645"/>
      <c r="AL236" s="1645"/>
      <c r="AM236" s="1645"/>
      <c r="AN236" s="1645"/>
      <c r="AO236" s="1645"/>
      <c r="AP236" s="1645"/>
      <c r="AQ236" s="1645"/>
      <c r="AR236" s="1645"/>
      <c r="AS236" s="1645"/>
      <c r="AT236" s="1645"/>
      <c r="AU236" s="1645"/>
      <c r="AW236" s="1164"/>
      <c r="AX236" s="1640"/>
      <c r="AY236" s="1640"/>
      <c r="AZ236" s="1164"/>
      <c r="BA236" s="1164"/>
      <c r="BB236" s="1164"/>
      <c r="BC236" s="1164"/>
      <c r="BD236" s="1640"/>
      <c r="BE236" s="1164"/>
      <c r="BF236" s="1164"/>
      <c r="BG236" s="548"/>
      <c r="BH236" s="1164"/>
      <c r="BI236" s="1164"/>
      <c r="BJ236" s="1164"/>
      <c r="BK236" s="1164"/>
      <c r="BL236" s="1164"/>
      <c r="BM236" s="1636"/>
      <c r="BN236" s="570"/>
      <c r="BO236" s="570"/>
      <c r="BP236" s="570"/>
      <c r="BQ236" s="570"/>
      <c r="BR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X237" s="1645"/>
      <c r="Y237" s="1645"/>
      <c r="Z237" s="1645"/>
      <c r="AA237" s="1645"/>
      <c r="AB237" s="1645"/>
      <c r="AC237" s="1645"/>
      <c r="AD237" s="1645"/>
      <c r="AE237" s="1645"/>
      <c r="AF237" s="1645"/>
      <c r="AG237" s="1645"/>
      <c r="AH237" s="1645"/>
      <c r="AI237" s="1645"/>
      <c r="AJ237" s="1645"/>
      <c r="AK237" s="1645"/>
      <c r="AL237" s="1645"/>
      <c r="AM237" s="1645"/>
      <c r="AN237" s="1645"/>
      <c r="AO237" s="1645"/>
      <c r="AP237" s="1645"/>
      <c r="AQ237" s="1645"/>
      <c r="AR237" s="1645"/>
      <c r="AS237" s="1645"/>
      <c r="AT237" s="1645"/>
      <c r="AU237" s="1645"/>
      <c r="AW237" s="1164"/>
      <c r="AX237" s="1640"/>
      <c r="AY237" s="1640"/>
      <c r="AZ237" s="1164"/>
      <c r="BA237" s="1164"/>
      <c r="BB237" s="1164"/>
      <c r="BC237" s="1164"/>
      <c r="BD237" s="1640"/>
      <c r="BE237" s="1164"/>
      <c r="BF237" s="1164"/>
      <c r="BG237" s="548"/>
      <c r="BH237" s="1164"/>
      <c r="BI237" s="1164"/>
      <c r="BJ237" s="1164"/>
      <c r="BK237" s="1164"/>
      <c r="BL237" s="1164"/>
      <c r="BM237" s="1636"/>
      <c r="BN237" s="570"/>
      <c r="BO237" s="570"/>
      <c r="BP237" s="570"/>
      <c r="BQ237" s="570"/>
      <c r="BR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X238" s="1645"/>
      <c r="Y238" s="1645"/>
      <c r="Z238" s="1645"/>
      <c r="AA238" s="1645"/>
      <c r="AB238" s="1645"/>
      <c r="AC238" s="1645"/>
      <c r="AD238" s="1645"/>
      <c r="AE238" s="1645"/>
      <c r="AF238" s="1645"/>
      <c r="AG238" s="1645"/>
      <c r="AH238" s="1645"/>
      <c r="AI238" s="1645"/>
      <c r="AJ238" s="1645"/>
      <c r="AK238" s="1645"/>
      <c r="AL238" s="1645"/>
      <c r="AM238" s="1645"/>
      <c r="AN238" s="1645"/>
      <c r="AO238" s="1645"/>
      <c r="AP238" s="1645"/>
      <c r="AQ238" s="1645"/>
      <c r="AR238" s="1645"/>
      <c r="AS238" s="1645"/>
      <c r="AT238" s="1645"/>
      <c r="AU238" s="1645"/>
      <c r="AW238" s="1164"/>
      <c r="AX238" s="1640"/>
      <c r="AY238" s="1640"/>
      <c r="AZ238" s="1164"/>
      <c r="BA238" s="1164"/>
      <c r="BB238" s="1164"/>
      <c r="BC238" s="1164"/>
      <c r="BD238" s="1640"/>
      <c r="BE238" s="1164"/>
      <c r="BF238" s="1164"/>
      <c r="BG238" s="548"/>
      <c r="BH238" s="1164"/>
      <c r="BI238" s="1164"/>
      <c r="BJ238" s="1164"/>
      <c r="BK238" s="1164"/>
      <c r="BL238" s="1164"/>
      <c r="BM238" s="1636"/>
      <c r="BN238" s="570"/>
      <c r="BO238" s="570"/>
      <c r="BP238" s="570"/>
      <c r="BQ238" s="570"/>
      <c r="BR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5"/>
      <c r="AL239" s="1645"/>
      <c r="AM239" s="1645"/>
      <c r="AN239" s="1645"/>
      <c r="AO239" s="1645"/>
      <c r="AP239" s="1645"/>
      <c r="AQ239" s="1645"/>
      <c r="AR239" s="1645"/>
      <c r="AS239" s="1645"/>
      <c r="AT239" s="1645"/>
      <c r="AU239" s="1645"/>
      <c r="AW239" s="1164"/>
      <c r="AX239" s="1640"/>
      <c r="AY239" s="1640"/>
      <c r="AZ239" s="1164"/>
      <c r="BA239" s="1164"/>
      <c r="BB239" s="1164"/>
      <c r="BC239" s="1164"/>
      <c r="BD239" s="1640"/>
      <c r="BE239" s="1164"/>
      <c r="BF239" s="1164"/>
      <c r="BG239" s="548"/>
      <c r="BH239" s="1164"/>
      <c r="BI239" s="1164"/>
      <c r="BJ239" s="1164"/>
      <c r="BK239" s="1164"/>
      <c r="BL239" s="1164"/>
      <c r="BM239" s="1636"/>
      <c r="BN239" s="570"/>
      <c r="BO239" s="570"/>
      <c r="BP239" s="570"/>
      <c r="BQ239" s="570"/>
      <c r="BR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X240" s="1645"/>
      <c r="Y240" s="1645"/>
      <c r="Z240" s="1645"/>
      <c r="AA240" s="1645"/>
      <c r="AB240" s="1645"/>
      <c r="AC240" s="1645"/>
      <c r="AD240" s="1645"/>
      <c r="AE240" s="1645"/>
      <c r="AF240" s="1645"/>
      <c r="AG240" s="1645"/>
      <c r="AH240" s="1645"/>
      <c r="AI240" s="1645"/>
      <c r="AJ240" s="1645"/>
      <c r="AK240" s="1645"/>
      <c r="AL240" s="1645"/>
      <c r="AM240" s="1645"/>
      <c r="AN240" s="1645"/>
      <c r="AO240" s="1645"/>
      <c r="AP240" s="1645"/>
      <c r="AQ240" s="1645"/>
      <c r="AR240" s="1645"/>
      <c r="AS240" s="1645"/>
      <c r="AT240" s="1645"/>
      <c r="AU240" s="1645"/>
      <c r="AW240" s="1164"/>
      <c r="AX240" s="1640"/>
      <c r="AY240" s="1640"/>
      <c r="AZ240" s="1164"/>
      <c r="BA240" s="1164"/>
      <c r="BB240" s="1164"/>
      <c r="BC240" s="1164"/>
      <c r="BD240" s="1640"/>
      <c r="BE240" s="1164"/>
      <c r="BF240" s="1164"/>
      <c r="BG240" s="548"/>
      <c r="BH240" s="1164"/>
      <c r="BI240" s="1164"/>
      <c r="BJ240" s="1164"/>
      <c r="BK240" s="1164"/>
      <c r="BL240" s="1164"/>
      <c r="BM240" s="1636"/>
      <c r="BN240" s="570"/>
      <c r="BO240" s="570"/>
      <c r="BP240" s="570"/>
      <c r="BQ240" s="570"/>
      <c r="BR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X241" s="1645"/>
      <c r="Y241" s="1645"/>
      <c r="Z241" s="1645"/>
      <c r="AA241" s="1645"/>
      <c r="AB241" s="1645"/>
      <c r="AC241" s="1645"/>
      <c r="AD241" s="1645"/>
      <c r="AE241" s="1645"/>
      <c r="AF241" s="1645"/>
      <c r="AG241" s="1645"/>
      <c r="AH241" s="1645"/>
      <c r="AI241" s="1645"/>
      <c r="AJ241" s="1645"/>
      <c r="AK241" s="1645"/>
      <c r="AL241" s="1645"/>
      <c r="AM241" s="1645"/>
      <c r="AN241" s="1645"/>
      <c r="AO241" s="1645"/>
      <c r="AP241" s="1645"/>
      <c r="AQ241" s="1645"/>
      <c r="AR241" s="1645"/>
      <c r="AS241" s="1645"/>
      <c r="AT241" s="1645"/>
      <c r="AU241" s="1645"/>
      <c r="AW241" s="1164"/>
      <c r="AX241" s="1640"/>
      <c r="AY241" s="1640"/>
      <c r="AZ241" s="1164"/>
      <c r="BA241" s="1164"/>
      <c r="BB241" s="1164"/>
      <c r="BC241" s="1164"/>
      <c r="BD241" s="1640"/>
      <c r="BE241" s="1164"/>
      <c r="BF241" s="1164"/>
      <c r="BG241" s="548"/>
      <c r="BH241" s="1164"/>
      <c r="BI241" s="1164"/>
      <c r="BJ241" s="1164"/>
      <c r="BK241" s="1164"/>
      <c r="BL241" s="1164"/>
      <c r="BM241" s="1636"/>
      <c r="BN241" s="570"/>
      <c r="BO241" s="570"/>
      <c r="BP241" s="570"/>
      <c r="BQ241" s="570"/>
      <c r="BR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1645"/>
      <c r="AG242" s="1645"/>
      <c r="AH242" s="1645"/>
      <c r="AI242" s="1645"/>
      <c r="AJ242" s="1645"/>
      <c r="AK242" s="1645"/>
      <c r="AL242" s="1645"/>
      <c r="AM242" s="1645"/>
      <c r="AN242" s="1645"/>
      <c r="AO242" s="1645"/>
      <c r="AP242" s="1645"/>
      <c r="AQ242" s="1645"/>
      <c r="AR242" s="1645"/>
      <c r="AS242" s="1645"/>
      <c r="AT242" s="1645"/>
      <c r="AU242" s="1645"/>
      <c r="AW242" s="1164"/>
      <c r="AX242" s="1640"/>
      <c r="AY242" s="1640"/>
      <c r="AZ242" s="1164"/>
      <c r="BA242" s="1164"/>
      <c r="BB242" s="1164"/>
      <c r="BC242" s="1164"/>
      <c r="BD242" s="1640"/>
      <c r="BE242" s="1164"/>
      <c r="BF242" s="1164"/>
      <c r="BG242" s="548"/>
      <c r="BH242" s="1164"/>
      <c r="BI242" s="1164"/>
      <c r="BJ242" s="1164"/>
      <c r="BK242" s="1164"/>
      <c r="BL242" s="1164"/>
      <c r="BM242" s="1636"/>
      <c r="BN242" s="570"/>
      <c r="BO242" s="570"/>
      <c r="BP242" s="570"/>
      <c r="BQ242" s="570"/>
      <c r="BR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X243" s="1645"/>
      <c r="Y243" s="1645"/>
      <c r="Z243" s="1645"/>
      <c r="AA243" s="1645"/>
      <c r="AB243" s="1645"/>
      <c r="AC243" s="1645"/>
      <c r="AD243" s="1645"/>
      <c r="AE243" s="1645"/>
      <c r="AF243" s="1645"/>
      <c r="AG243" s="1645"/>
      <c r="AH243" s="1645"/>
      <c r="AI243" s="1645"/>
      <c r="AJ243" s="1645"/>
      <c r="AK243" s="1645"/>
      <c r="AL243" s="1645"/>
      <c r="AM243" s="1645"/>
      <c r="AN243" s="1645"/>
      <c r="AO243" s="1645"/>
      <c r="AP243" s="1645"/>
      <c r="AQ243" s="1645"/>
      <c r="AR243" s="1645"/>
      <c r="AS243" s="1645"/>
      <c r="AT243" s="1645"/>
      <c r="AU243" s="1645"/>
      <c r="AW243" s="1164"/>
      <c r="AX243" s="1640"/>
      <c r="AY243" s="1640"/>
      <c r="AZ243" s="1164"/>
      <c r="BA243" s="1164"/>
      <c r="BB243" s="1164"/>
      <c r="BC243" s="1164"/>
      <c r="BD243" s="1640"/>
      <c r="BE243" s="1164"/>
      <c r="BF243" s="1164"/>
      <c r="BG243" s="548"/>
      <c r="BH243" s="1164"/>
      <c r="BI243" s="1164"/>
      <c r="BJ243" s="1164"/>
      <c r="BK243" s="1164"/>
      <c r="BL243" s="1164"/>
      <c r="BM243" s="1636"/>
      <c r="BN243" s="570"/>
      <c r="BO243" s="570"/>
      <c r="BP243" s="570"/>
      <c r="BQ243" s="570"/>
      <c r="BR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X244" s="1645"/>
      <c r="Y244" s="1645"/>
      <c r="Z244" s="1645"/>
      <c r="AA244" s="1645"/>
      <c r="AB244" s="1645"/>
      <c r="AC244" s="1645"/>
      <c r="AD244" s="1645"/>
      <c r="AE244" s="1645"/>
      <c r="AF244" s="1645"/>
      <c r="AG244" s="1645"/>
      <c r="AH244" s="1645"/>
      <c r="AI244" s="1645"/>
      <c r="AJ244" s="1645"/>
      <c r="AK244" s="1645"/>
      <c r="AL244" s="1645"/>
      <c r="AM244" s="1645"/>
      <c r="AN244" s="1645"/>
      <c r="AO244" s="1645"/>
      <c r="AP244" s="1645"/>
      <c r="AQ244" s="1645"/>
      <c r="AR244" s="1645"/>
      <c r="AS244" s="1645"/>
      <c r="AT244" s="1645"/>
      <c r="AU244" s="1645"/>
      <c r="AW244" s="1164"/>
      <c r="AX244" s="1640"/>
      <c r="AY244" s="1640"/>
      <c r="AZ244" s="1164"/>
      <c r="BA244" s="1164"/>
      <c r="BB244" s="1164"/>
      <c r="BC244" s="1164"/>
      <c r="BD244" s="1640"/>
      <c r="BE244" s="1164"/>
      <c r="BF244" s="1164"/>
      <c r="BG244" s="548"/>
      <c r="BH244" s="1164"/>
      <c r="BI244" s="1164"/>
      <c r="BJ244" s="1164"/>
      <c r="BK244" s="1164"/>
      <c r="BL244" s="1164"/>
      <c r="BM244" s="1636"/>
      <c r="BN244" s="570"/>
      <c r="BO244" s="570"/>
      <c r="BP244" s="570"/>
      <c r="BQ244" s="570"/>
      <c r="BR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X245" s="1645"/>
      <c r="Y245" s="1645"/>
      <c r="Z245" s="1645"/>
      <c r="AA245" s="1645"/>
      <c r="AB245" s="1645"/>
      <c r="AC245" s="1645"/>
      <c r="AD245" s="1645"/>
      <c r="AE245" s="1645"/>
      <c r="AF245" s="1645"/>
      <c r="AG245" s="1645"/>
      <c r="AH245" s="1645"/>
      <c r="AI245" s="1645"/>
      <c r="AJ245" s="1645"/>
      <c r="AK245" s="1645"/>
      <c r="AL245" s="1645"/>
      <c r="AM245" s="1645"/>
      <c r="AN245" s="1645"/>
      <c r="AO245" s="1645"/>
      <c r="AP245" s="1645"/>
      <c r="AQ245" s="1645"/>
      <c r="AR245" s="1645"/>
      <c r="AS245" s="1645"/>
      <c r="AT245" s="1645"/>
      <c r="AU245" s="1645"/>
      <c r="AW245" s="1164"/>
      <c r="AX245" s="1640"/>
      <c r="AY245" s="1640"/>
      <c r="AZ245" s="1164"/>
      <c r="BA245" s="1164"/>
      <c r="BB245" s="1164"/>
      <c r="BC245" s="1164"/>
      <c r="BD245" s="1640"/>
      <c r="BE245" s="1164"/>
      <c r="BF245" s="1164"/>
      <c r="BG245" s="548"/>
      <c r="BH245" s="1164"/>
      <c r="BI245" s="1164"/>
      <c r="BJ245" s="1164"/>
      <c r="BK245" s="1164"/>
      <c r="BL245" s="1164"/>
      <c r="BM245" s="1636"/>
      <c r="BN245" s="570"/>
      <c r="BO245" s="570"/>
      <c r="BP245" s="570"/>
      <c r="BQ245" s="570"/>
      <c r="BR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X246" s="1645"/>
      <c r="Y246" s="1645"/>
      <c r="Z246" s="1645"/>
      <c r="AA246" s="1645"/>
      <c r="AB246" s="1645"/>
      <c r="AC246" s="1645"/>
      <c r="AD246" s="1645"/>
      <c r="AE246" s="1645"/>
      <c r="AF246" s="1645"/>
      <c r="AG246" s="1645"/>
      <c r="AH246" s="1645"/>
      <c r="AI246" s="1645"/>
      <c r="AJ246" s="1645"/>
      <c r="AK246" s="1645"/>
      <c r="AL246" s="1645"/>
      <c r="AM246" s="1645"/>
      <c r="AN246" s="1645"/>
      <c r="AO246" s="1645"/>
      <c r="AP246" s="1645"/>
      <c r="AQ246" s="1645"/>
      <c r="AR246" s="1645"/>
      <c r="AS246" s="1645"/>
      <c r="AT246" s="1645"/>
      <c r="AU246" s="1645"/>
      <c r="AW246" s="1164"/>
      <c r="AX246" s="1640"/>
      <c r="AY246" s="1640"/>
      <c r="AZ246" s="1164"/>
      <c r="BA246" s="1164"/>
      <c r="BB246" s="1164"/>
      <c r="BC246" s="1164"/>
      <c r="BD246" s="1640"/>
      <c r="BE246" s="1164"/>
      <c r="BF246" s="1164"/>
      <c r="BG246" s="548"/>
      <c r="BH246" s="1164"/>
      <c r="BI246" s="1164"/>
      <c r="BJ246" s="1164"/>
      <c r="BK246" s="1164"/>
      <c r="BL246" s="1164"/>
      <c r="BM246" s="1636"/>
      <c r="BN246" s="570"/>
      <c r="BO246" s="570"/>
      <c r="BP246" s="570"/>
      <c r="BQ246" s="570"/>
      <c r="BR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X247" s="1645"/>
      <c r="Y247" s="1645"/>
      <c r="Z247" s="1645"/>
      <c r="AA247" s="1645"/>
      <c r="AB247" s="1645"/>
      <c r="AC247" s="1645"/>
      <c r="AD247" s="1645"/>
      <c r="AE247" s="1645"/>
      <c r="AF247" s="1645"/>
      <c r="AG247" s="1645"/>
      <c r="AH247" s="1645"/>
      <c r="AI247" s="1645"/>
      <c r="AJ247" s="1645"/>
      <c r="AK247" s="1645"/>
      <c r="AL247" s="1645"/>
      <c r="AM247" s="1645"/>
      <c r="AN247" s="1645"/>
      <c r="AO247" s="1645"/>
      <c r="AP247" s="1645"/>
      <c r="AQ247" s="1645"/>
      <c r="AR247" s="1645"/>
      <c r="AS247" s="1645"/>
      <c r="AT247" s="1645"/>
      <c r="AU247" s="1645"/>
      <c r="AW247" s="1164"/>
      <c r="AX247" s="1640"/>
      <c r="AY247" s="1640"/>
      <c r="AZ247" s="1164"/>
      <c r="BA247" s="1164"/>
      <c r="BB247" s="1164"/>
      <c r="BC247" s="1164"/>
      <c r="BD247" s="1640"/>
      <c r="BE247" s="1164"/>
      <c r="BF247" s="1164"/>
      <c r="BG247" s="548"/>
      <c r="BH247" s="1164"/>
      <c r="BI247" s="1164"/>
      <c r="BJ247" s="1164"/>
      <c r="BK247" s="1164"/>
      <c r="BL247" s="1164"/>
      <c r="BM247" s="1636"/>
      <c r="BN247" s="570"/>
      <c r="BO247" s="570"/>
      <c r="BP247" s="570"/>
      <c r="BQ247" s="570"/>
      <c r="BR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1645"/>
      <c r="AD248" s="1645"/>
      <c r="AE248" s="1645"/>
      <c r="AF248" s="1645"/>
      <c r="AG248" s="1645"/>
      <c r="AH248" s="1645"/>
      <c r="AI248" s="1645"/>
      <c r="AJ248" s="1645"/>
      <c r="AK248" s="1645"/>
      <c r="AL248" s="1645"/>
      <c r="AM248" s="1645"/>
      <c r="AN248" s="1645"/>
      <c r="AO248" s="1645"/>
      <c r="AP248" s="1645"/>
      <c r="AQ248" s="1645"/>
      <c r="AR248" s="1645"/>
      <c r="AS248" s="1645"/>
      <c r="AT248" s="1645"/>
      <c r="AU248" s="1645"/>
      <c r="AW248" s="1164"/>
      <c r="AX248" s="1640"/>
      <c r="AY248" s="1640"/>
      <c r="AZ248" s="1164"/>
      <c r="BA248" s="1164"/>
      <c r="BB248" s="1164"/>
      <c r="BC248" s="1164"/>
      <c r="BD248" s="1640"/>
      <c r="BE248" s="1164"/>
      <c r="BF248" s="1164"/>
      <c r="BG248" s="548"/>
      <c r="BH248" s="1164"/>
      <c r="BI248" s="1164"/>
      <c r="BJ248" s="1164"/>
      <c r="BK248" s="1164"/>
      <c r="BL248" s="1164"/>
      <c r="BM248" s="1636"/>
      <c r="BN248" s="570"/>
      <c r="BO248" s="570"/>
      <c r="BP248" s="570"/>
      <c r="BQ248" s="570"/>
      <c r="BR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1645"/>
      <c r="AD249" s="1645"/>
      <c r="AE249" s="1645"/>
      <c r="AF249" s="1645"/>
      <c r="AG249" s="1645"/>
      <c r="AH249" s="1645"/>
      <c r="AI249" s="1645"/>
      <c r="AJ249" s="1645"/>
      <c r="AK249" s="1645"/>
      <c r="AL249" s="1645"/>
      <c r="AM249" s="1645"/>
      <c r="AN249" s="1645"/>
      <c r="AO249" s="1645"/>
      <c r="AP249" s="1645"/>
      <c r="AQ249" s="1645"/>
      <c r="AR249" s="1645"/>
      <c r="AS249" s="1645"/>
      <c r="AT249" s="1645"/>
      <c r="AU249" s="1645"/>
      <c r="AW249" s="1164"/>
      <c r="AX249" s="1640"/>
      <c r="AY249" s="1640"/>
      <c r="AZ249" s="1164"/>
      <c r="BA249" s="1164"/>
      <c r="BB249" s="1164"/>
      <c r="BC249" s="1164"/>
      <c r="BD249" s="1640"/>
      <c r="BE249" s="1164"/>
      <c r="BF249" s="1164"/>
      <c r="BG249" s="548"/>
      <c r="BH249" s="1164"/>
      <c r="BI249" s="1164"/>
      <c r="BJ249" s="1164"/>
      <c r="BK249" s="1164"/>
      <c r="BL249" s="1164"/>
      <c r="BM249" s="1636"/>
      <c r="BN249" s="570"/>
      <c r="BO249" s="570"/>
      <c r="BP249" s="570"/>
      <c r="BQ249" s="570"/>
      <c r="BR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X250" s="1645"/>
      <c r="Y250" s="1645"/>
      <c r="Z250" s="1645"/>
      <c r="AA250" s="1645"/>
      <c r="AB250" s="1645"/>
      <c r="AC250" s="1645"/>
      <c r="AD250" s="1645"/>
      <c r="AE250" s="1645"/>
      <c r="AF250" s="1645"/>
      <c r="AG250" s="1645"/>
      <c r="AH250" s="1645"/>
      <c r="AI250" s="1645"/>
      <c r="AJ250" s="1645"/>
      <c r="AK250" s="1645"/>
      <c r="AL250" s="1645"/>
      <c r="AM250" s="1645"/>
      <c r="AN250" s="1645"/>
      <c r="AO250" s="1645"/>
      <c r="AP250" s="1645"/>
      <c r="AQ250" s="1645"/>
      <c r="AR250" s="1645"/>
      <c r="AS250" s="1645"/>
      <c r="AT250" s="1645"/>
      <c r="AU250" s="1645"/>
      <c r="AW250" s="1164"/>
      <c r="AX250" s="1640"/>
      <c r="AY250" s="1640"/>
      <c r="AZ250" s="1164"/>
      <c r="BA250" s="1164"/>
      <c r="BB250" s="1164"/>
      <c r="BC250" s="1164"/>
      <c r="BD250" s="1640"/>
      <c r="BE250" s="1164"/>
      <c r="BF250" s="1164"/>
      <c r="BG250" s="548"/>
      <c r="BH250" s="1164"/>
      <c r="BI250" s="1164"/>
      <c r="BJ250" s="1164"/>
      <c r="BK250" s="1164"/>
      <c r="BL250" s="1164"/>
      <c r="BM250" s="1636"/>
      <c r="BN250" s="570"/>
      <c r="BO250" s="570"/>
      <c r="BP250" s="570"/>
      <c r="BQ250" s="570"/>
      <c r="BR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1645"/>
      <c r="AD251" s="1645"/>
      <c r="AE251" s="1645"/>
      <c r="AF251" s="1645"/>
      <c r="AG251" s="1645"/>
      <c r="AH251" s="1645"/>
      <c r="AI251" s="1645"/>
      <c r="AJ251" s="1645"/>
      <c r="AK251" s="1645"/>
      <c r="AL251" s="1645"/>
      <c r="AM251" s="1645"/>
      <c r="AN251" s="1645"/>
      <c r="AO251" s="1645"/>
      <c r="AP251" s="1645"/>
      <c r="AQ251" s="1645"/>
      <c r="AR251" s="1645"/>
      <c r="AS251" s="1645"/>
      <c r="AT251" s="1645"/>
      <c r="AU251" s="1645"/>
      <c r="AW251" s="1164"/>
      <c r="AX251" s="1640"/>
      <c r="AY251" s="1640"/>
      <c r="AZ251" s="1164"/>
      <c r="BA251" s="1164"/>
      <c r="BB251" s="1164"/>
      <c r="BC251" s="1164"/>
      <c r="BD251" s="1640"/>
      <c r="BE251" s="1164"/>
      <c r="BF251" s="1164"/>
      <c r="BG251" s="548"/>
      <c r="BH251" s="1164"/>
      <c r="BI251" s="1164"/>
      <c r="BJ251" s="1164"/>
      <c r="BK251" s="1164"/>
      <c r="BL251" s="1164"/>
      <c r="BM251" s="1636"/>
      <c r="BN251" s="570"/>
      <c r="BO251" s="570"/>
      <c r="BP251" s="570"/>
      <c r="BQ251" s="570"/>
      <c r="BR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1645"/>
      <c r="AD252" s="1645"/>
      <c r="AE252" s="1645"/>
      <c r="AF252" s="1645"/>
      <c r="AG252" s="1645"/>
      <c r="AH252" s="1645"/>
      <c r="AI252" s="1645"/>
      <c r="AJ252" s="1645"/>
      <c r="AK252" s="1645"/>
      <c r="AL252" s="1645"/>
      <c r="AM252" s="1645"/>
      <c r="AN252" s="1645"/>
      <c r="AO252" s="1645"/>
      <c r="AP252" s="1645"/>
      <c r="AQ252" s="1645"/>
      <c r="AR252" s="1645"/>
      <c r="AS252" s="1645"/>
      <c r="AT252" s="1645"/>
      <c r="AU252" s="1645"/>
      <c r="AW252" s="1164"/>
      <c r="AX252" s="1640"/>
      <c r="AY252" s="1640"/>
      <c r="AZ252" s="1164"/>
      <c r="BA252" s="1164"/>
      <c r="BB252" s="1164"/>
      <c r="BC252" s="1164"/>
      <c r="BD252" s="1640"/>
      <c r="BE252" s="1164"/>
      <c r="BF252" s="1164"/>
      <c r="BG252" s="548"/>
      <c r="BH252" s="1164"/>
      <c r="BI252" s="1164"/>
      <c r="BJ252" s="1164"/>
      <c r="BK252" s="1164"/>
      <c r="BL252" s="1164"/>
      <c r="BM252" s="1636"/>
      <c r="BN252" s="570"/>
      <c r="BO252" s="570"/>
      <c r="BP252" s="570"/>
      <c r="BQ252" s="570"/>
      <c r="BR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5"/>
      <c r="AL253" s="1645"/>
      <c r="AM253" s="1645"/>
      <c r="AN253" s="1645"/>
      <c r="AO253" s="1645"/>
      <c r="AP253" s="1645"/>
      <c r="AQ253" s="1645"/>
      <c r="AR253" s="1645"/>
      <c r="AS253" s="1645"/>
      <c r="AT253" s="1645"/>
      <c r="AU253" s="1645"/>
      <c r="AW253" s="1164"/>
      <c r="AX253" s="1640"/>
      <c r="AY253" s="1640"/>
      <c r="AZ253" s="1164"/>
      <c r="BA253" s="1164"/>
      <c r="BB253" s="1164"/>
      <c r="BC253" s="1164"/>
      <c r="BD253" s="1640"/>
      <c r="BE253" s="1164"/>
      <c r="BF253" s="1164"/>
      <c r="BG253" s="548"/>
      <c r="BH253" s="1164"/>
      <c r="BI253" s="1164"/>
      <c r="BJ253" s="1164"/>
      <c r="BK253" s="1164"/>
      <c r="BL253" s="1164"/>
      <c r="BM253" s="1636"/>
      <c r="BN253" s="570"/>
      <c r="BO253" s="570"/>
      <c r="BP253" s="570"/>
      <c r="BQ253" s="570"/>
      <c r="BR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X254" s="1645"/>
      <c r="Y254" s="1645"/>
      <c r="Z254" s="1645"/>
      <c r="AA254" s="1645"/>
      <c r="AB254" s="1645"/>
      <c r="AC254" s="1645"/>
      <c r="AD254" s="1645"/>
      <c r="AE254" s="1645"/>
      <c r="AF254" s="1645"/>
      <c r="AG254" s="1645"/>
      <c r="AH254" s="1645"/>
      <c r="AI254" s="1645"/>
      <c r="AJ254" s="1645"/>
      <c r="AK254" s="1645"/>
      <c r="AL254" s="1645"/>
      <c r="AM254" s="1645"/>
      <c r="AN254" s="1645"/>
      <c r="AO254" s="1645"/>
      <c r="AP254" s="1645"/>
      <c r="AQ254" s="1645"/>
      <c r="AR254" s="1645"/>
      <c r="AS254" s="1645"/>
      <c r="AT254" s="1645"/>
      <c r="AU254" s="1645"/>
      <c r="AW254" s="1164"/>
      <c r="AX254" s="1640"/>
      <c r="AY254" s="1640"/>
      <c r="AZ254" s="1164"/>
      <c r="BA254" s="1164"/>
      <c r="BB254" s="1164"/>
      <c r="BC254" s="1164"/>
      <c r="BD254" s="1640"/>
      <c r="BE254" s="1164"/>
      <c r="BF254" s="1164"/>
      <c r="BG254" s="548"/>
      <c r="BH254" s="1164"/>
      <c r="BI254" s="1164"/>
      <c r="BJ254" s="1164"/>
      <c r="BK254" s="1164"/>
      <c r="BL254" s="1164"/>
      <c r="BM254" s="1636"/>
      <c r="BN254" s="570"/>
      <c r="BO254" s="570"/>
      <c r="BP254" s="570"/>
      <c r="BQ254" s="570"/>
      <c r="BR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M255" s="1645"/>
      <c r="AN255" s="1645"/>
      <c r="AO255" s="1645"/>
      <c r="AP255" s="1645"/>
      <c r="AQ255" s="1645"/>
      <c r="AR255" s="1645"/>
      <c r="AS255" s="1645"/>
      <c r="AT255" s="1645"/>
      <c r="AU255" s="1645"/>
      <c r="AW255" s="1164"/>
      <c r="AX255" s="1640"/>
      <c r="AY255" s="1640"/>
      <c r="AZ255" s="1164"/>
      <c r="BA255" s="1164"/>
      <c r="BB255" s="1164"/>
      <c r="BC255" s="1164"/>
      <c r="BD255" s="1640"/>
      <c r="BE255" s="1164"/>
      <c r="BF255" s="1164"/>
      <c r="BG255" s="548"/>
      <c r="BH255" s="1164"/>
      <c r="BI255" s="1164"/>
      <c r="BJ255" s="1164"/>
      <c r="BK255" s="1164"/>
      <c r="BL255" s="1164"/>
      <c r="BM255" s="1636"/>
      <c r="BN255" s="570"/>
      <c r="BO255" s="570"/>
      <c r="BP255" s="570"/>
      <c r="BQ255" s="570"/>
      <c r="BR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M256" s="1645"/>
      <c r="AN256" s="1645"/>
      <c r="AO256" s="1645"/>
      <c r="AP256" s="1645"/>
      <c r="AQ256" s="1645"/>
      <c r="AR256" s="1645"/>
      <c r="AS256" s="1645"/>
      <c r="AT256" s="1645"/>
      <c r="AU256" s="1645"/>
      <c r="AW256" s="1164"/>
      <c r="AX256" s="1640"/>
      <c r="AY256" s="1640"/>
      <c r="AZ256" s="1164"/>
      <c r="BA256" s="1164"/>
      <c r="BB256" s="1164"/>
      <c r="BC256" s="1164"/>
      <c r="BD256" s="1640"/>
      <c r="BE256" s="1164"/>
      <c r="BF256" s="1164"/>
      <c r="BG256" s="548"/>
      <c r="BH256" s="1164"/>
      <c r="BI256" s="1164"/>
      <c r="BJ256" s="1164"/>
      <c r="BK256" s="1164"/>
      <c r="BL256" s="1164"/>
      <c r="BM256" s="1636"/>
      <c r="BN256" s="570"/>
      <c r="BO256" s="570"/>
      <c r="BP256" s="570"/>
      <c r="BQ256" s="570"/>
      <c r="BR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X257" s="1645"/>
      <c r="Y257" s="1645"/>
      <c r="Z257" s="1645"/>
      <c r="AA257" s="1645"/>
      <c r="AB257" s="1645"/>
      <c r="AC257" s="1645"/>
      <c r="AD257" s="1645"/>
      <c r="AE257" s="1645"/>
      <c r="AF257" s="1645"/>
      <c r="AG257" s="1645"/>
      <c r="AH257" s="1645"/>
      <c r="AI257" s="1645"/>
      <c r="AJ257" s="1645"/>
      <c r="AK257" s="1645"/>
      <c r="AL257" s="1645"/>
      <c r="AM257" s="1645"/>
      <c r="AN257" s="1645"/>
      <c r="AO257" s="1645"/>
      <c r="AP257" s="1645"/>
      <c r="AQ257" s="1645"/>
      <c r="AR257" s="1645"/>
      <c r="AS257" s="1645"/>
      <c r="AT257" s="1645"/>
      <c r="AU257" s="1645"/>
      <c r="AW257" s="1164"/>
      <c r="AX257" s="1640"/>
      <c r="AY257" s="1640"/>
      <c r="AZ257" s="1164"/>
      <c r="BA257" s="1164"/>
      <c r="BB257" s="1164"/>
      <c r="BC257" s="1164"/>
      <c r="BD257" s="1640"/>
      <c r="BE257" s="1164"/>
      <c r="BF257" s="1164"/>
      <c r="BG257" s="548"/>
      <c r="BH257" s="1164"/>
      <c r="BI257" s="1164"/>
      <c r="BJ257" s="1164"/>
      <c r="BK257" s="1164"/>
      <c r="BL257" s="1164"/>
      <c r="BM257" s="1636"/>
      <c r="BN257" s="570"/>
      <c r="BO257" s="570"/>
      <c r="BP257" s="570"/>
      <c r="BQ257" s="570"/>
      <c r="BR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X258" s="1645"/>
      <c r="Y258" s="1645"/>
      <c r="Z258" s="1645"/>
      <c r="AA258" s="1645"/>
      <c r="AB258" s="1645"/>
      <c r="AC258" s="1645"/>
      <c r="AD258" s="1645"/>
      <c r="AE258" s="1645"/>
      <c r="AF258" s="1645"/>
      <c r="AG258" s="1645"/>
      <c r="AH258" s="1645"/>
      <c r="AI258" s="1645"/>
      <c r="AJ258" s="1645"/>
      <c r="AK258" s="1645"/>
      <c r="AL258" s="1645"/>
      <c r="AM258" s="1645"/>
      <c r="AN258" s="1645"/>
      <c r="AO258" s="1645"/>
      <c r="AP258" s="1645"/>
      <c r="AQ258" s="1645"/>
      <c r="AR258" s="1645"/>
      <c r="AS258" s="1645"/>
      <c r="AT258" s="1645"/>
      <c r="AU258" s="1645"/>
      <c r="AW258" s="1164"/>
      <c r="AX258" s="1640"/>
      <c r="AY258" s="1640"/>
      <c r="AZ258" s="1164"/>
      <c r="BA258" s="1164"/>
      <c r="BB258" s="1164"/>
      <c r="BC258" s="1164"/>
      <c r="BD258" s="1640"/>
      <c r="BE258" s="1164"/>
      <c r="BF258" s="1164"/>
      <c r="BG258" s="548"/>
      <c r="BH258" s="1164"/>
      <c r="BI258" s="1164"/>
      <c r="BJ258" s="1164"/>
      <c r="BK258" s="1164"/>
      <c r="BL258" s="1164"/>
      <c r="BM258" s="1636"/>
      <c r="BN258" s="570"/>
      <c r="BO258" s="570"/>
      <c r="BP258" s="570"/>
      <c r="BQ258" s="570"/>
      <c r="BR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X259" s="1645"/>
      <c r="Y259" s="1645"/>
      <c r="Z259" s="1645"/>
      <c r="AA259" s="1645"/>
      <c r="AB259" s="1645"/>
      <c r="AC259" s="1645"/>
      <c r="AD259" s="1645"/>
      <c r="AE259" s="1645"/>
      <c r="AF259" s="1645"/>
      <c r="AG259" s="1645"/>
      <c r="AH259" s="1645"/>
      <c r="AI259" s="1645"/>
      <c r="AJ259" s="1645"/>
      <c r="AK259" s="1645"/>
      <c r="AL259" s="1645"/>
      <c r="AM259" s="1645"/>
      <c r="AN259" s="1645"/>
      <c r="AO259" s="1645"/>
      <c r="AP259" s="1645"/>
      <c r="AQ259" s="1645"/>
      <c r="AR259" s="1645"/>
      <c r="AS259" s="1645"/>
      <c r="AT259" s="1645"/>
      <c r="AU259" s="1645"/>
      <c r="AW259" s="1164"/>
      <c r="AX259" s="1640"/>
      <c r="AY259" s="1640"/>
      <c r="AZ259" s="1164"/>
      <c r="BA259" s="1164"/>
      <c r="BB259" s="1164"/>
      <c r="BC259" s="1164"/>
      <c r="BD259" s="1640"/>
      <c r="BE259" s="1164"/>
      <c r="BF259" s="1164"/>
      <c r="BG259" s="548"/>
      <c r="BH259" s="1164"/>
      <c r="BI259" s="1164"/>
      <c r="BJ259" s="1164"/>
      <c r="BK259" s="1164"/>
      <c r="BL259" s="1164"/>
      <c r="BM259" s="1636"/>
      <c r="BN259" s="570"/>
      <c r="BO259" s="570"/>
      <c r="BP259" s="570"/>
      <c r="BQ259" s="570"/>
      <c r="BR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E260" s="1645"/>
      <c r="AF260" s="1645"/>
      <c r="AG260" s="1645"/>
      <c r="AH260" s="1645"/>
      <c r="AI260" s="1645"/>
      <c r="AJ260" s="1645"/>
      <c r="AK260" s="1645"/>
      <c r="AL260" s="1645"/>
      <c r="AM260" s="1645"/>
      <c r="AN260" s="1645"/>
      <c r="AO260" s="1645"/>
      <c r="AP260" s="1645"/>
      <c r="AQ260" s="1645"/>
      <c r="AR260" s="1645"/>
      <c r="AS260" s="1645"/>
      <c r="AT260" s="1645"/>
      <c r="AU260" s="1645"/>
      <c r="AW260" s="1164"/>
      <c r="AX260" s="1640"/>
      <c r="AY260" s="1640"/>
      <c r="AZ260" s="1164"/>
      <c r="BA260" s="1164"/>
      <c r="BB260" s="1164"/>
      <c r="BC260" s="1164"/>
      <c r="BD260" s="1640"/>
      <c r="BE260" s="1164"/>
      <c r="BF260" s="1164"/>
      <c r="BG260" s="548"/>
      <c r="BH260" s="1164"/>
      <c r="BI260" s="1164"/>
      <c r="BJ260" s="1164"/>
      <c r="BK260" s="1164"/>
      <c r="BL260" s="1164"/>
      <c r="BM260" s="1636"/>
      <c r="BN260" s="570"/>
      <c r="BO260" s="570"/>
      <c r="BP260" s="570"/>
      <c r="BQ260" s="570"/>
      <c r="BR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M261" s="1645"/>
      <c r="AN261" s="1645"/>
      <c r="AO261" s="1645"/>
      <c r="AP261" s="1645"/>
      <c r="AQ261" s="1645"/>
      <c r="AR261" s="1645"/>
      <c r="AS261" s="1645"/>
      <c r="AT261" s="1645"/>
      <c r="AU261" s="1645"/>
      <c r="AW261" s="1164"/>
      <c r="AX261" s="1640"/>
      <c r="AY261" s="1640"/>
      <c r="AZ261" s="1164"/>
      <c r="BA261" s="1164"/>
      <c r="BB261" s="1164"/>
      <c r="BC261" s="1164"/>
      <c r="BD261" s="1640"/>
      <c r="BE261" s="1164"/>
      <c r="BF261" s="1164"/>
      <c r="BG261" s="548"/>
      <c r="BH261" s="1164"/>
      <c r="BI261" s="1164"/>
      <c r="BJ261" s="1164"/>
      <c r="BK261" s="1164"/>
      <c r="BL261" s="1164"/>
      <c r="BM261" s="1636"/>
      <c r="BN261" s="570"/>
      <c r="BO261" s="570"/>
      <c r="BP261" s="570"/>
      <c r="BQ261" s="570"/>
      <c r="BR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645"/>
      <c r="AF262" s="1645"/>
      <c r="AG262" s="1645"/>
      <c r="AH262" s="1645"/>
      <c r="AI262" s="1645"/>
      <c r="AJ262" s="1645"/>
      <c r="AK262" s="1645"/>
      <c r="AL262" s="1645"/>
      <c r="AM262" s="1645"/>
      <c r="AN262" s="1645"/>
      <c r="AO262" s="1645"/>
      <c r="AP262" s="1645"/>
      <c r="AQ262" s="1645"/>
      <c r="AR262" s="1645"/>
      <c r="AS262" s="1645"/>
      <c r="AT262" s="1645"/>
      <c r="AU262" s="1645"/>
      <c r="AW262" s="1164"/>
      <c r="AX262" s="1640"/>
      <c r="AY262" s="1640"/>
      <c r="AZ262" s="1164"/>
      <c r="BA262" s="1164"/>
      <c r="BB262" s="1164"/>
      <c r="BC262" s="1164"/>
      <c r="BD262" s="1640"/>
      <c r="BE262" s="1164"/>
      <c r="BF262" s="1164"/>
      <c r="BG262" s="548"/>
      <c r="BH262" s="1164"/>
      <c r="BI262" s="1164"/>
      <c r="BJ262" s="1164"/>
      <c r="BK262" s="1164"/>
      <c r="BL262" s="1164"/>
      <c r="BM262" s="1636"/>
      <c r="BN262" s="570"/>
      <c r="BO262" s="570"/>
      <c r="BP262" s="570"/>
      <c r="BQ262" s="570"/>
      <c r="BR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M263" s="1645"/>
      <c r="AN263" s="1645"/>
      <c r="AO263" s="1645"/>
      <c r="AP263" s="1645"/>
      <c r="AQ263" s="1645"/>
      <c r="AR263" s="1645"/>
      <c r="AS263" s="1645"/>
      <c r="AT263" s="1645"/>
      <c r="AU263" s="1645"/>
      <c r="AW263" s="1164"/>
      <c r="AX263" s="1640"/>
      <c r="AY263" s="1640"/>
      <c r="AZ263" s="1164"/>
      <c r="BA263" s="1164"/>
      <c r="BB263" s="1164"/>
      <c r="BC263" s="1164"/>
      <c r="BD263" s="1640"/>
      <c r="BE263" s="1164"/>
      <c r="BF263" s="1164"/>
      <c r="BG263" s="548"/>
      <c r="BH263" s="1164"/>
      <c r="BI263" s="1164"/>
      <c r="BJ263" s="1164"/>
      <c r="BK263" s="1164"/>
      <c r="BL263" s="1164"/>
      <c r="BM263" s="1636"/>
      <c r="BN263" s="570"/>
      <c r="BO263" s="570"/>
      <c r="BP263" s="570"/>
      <c r="BQ263" s="570"/>
      <c r="BR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M264" s="1645"/>
      <c r="AN264" s="1645"/>
      <c r="AO264" s="1645"/>
      <c r="AP264" s="1645"/>
      <c r="AQ264" s="1645"/>
      <c r="AR264" s="1645"/>
      <c r="AS264" s="1645"/>
      <c r="AT264" s="1645"/>
      <c r="AU264" s="1645"/>
      <c r="AW264" s="1164"/>
      <c r="AX264" s="1640"/>
      <c r="AY264" s="1640"/>
      <c r="AZ264" s="1164"/>
      <c r="BA264" s="1164"/>
      <c r="BB264" s="1164"/>
      <c r="BC264" s="1164"/>
      <c r="BD264" s="1640"/>
      <c r="BE264" s="1164"/>
      <c r="BF264" s="1164"/>
      <c r="BG264" s="548"/>
      <c r="BH264" s="1164"/>
      <c r="BI264" s="1164"/>
      <c r="BJ264" s="1164"/>
      <c r="BK264" s="1164"/>
      <c r="BL264" s="1164"/>
      <c r="BM264" s="1636"/>
      <c r="BN264" s="570"/>
      <c r="BO264" s="570"/>
      <c r="BP264" s="570"/>
      <c r="BQ264" s="570"/>
      <c r="BR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X265" s="1645"/>
      <c r="Y265" s="1645"/>
      <c r="Z265" s="1645"/>
      <c r="AA265" s="1645"/>
      <c r="AB265" s="1645"/>
      <c r="AC265" s="1645"/>
      <c r="AD265" s="1645"/>
      <c r="AE265" s="1645"/>
      <c r="AF265" s="1645"/>
      <c r="AG265" s="1645"/>
      <c r="AH265" s="1645"/>
      <c r="AI265" s="1645"/>
      <c r="AJ265" s="1645"/>
      <c r="AK265" s="1645"/>
      <c r="AL265" s="1645"/>
      <c r="AM265" s="1645"/>
      <c r="AN265" s="1645"/>
      <c r="AO265" s="1645"/>
      <c r="AP265" s="1645"/>
      <c r="AQ265" s="1645"/>
      <c r="AR265" s="1645"/>
      <c r="AS265" s="1645"/>
      <c r="AT265" s="1645"/>
      <c r="AU265" s="1645"/>
      <c r="AW265" s="1164"/>
      <c r="AX265" s="1640"/>
      <c r="AY265" s="1640"/>
      <c r="AZ265" s="1164"/>
      <c r="BA265" s="1164"/>
      <c r="BB265" s="1164"/>
      <c r="BC265" s="1164"/>
      <c r="BD265" s="1640"/>
      <c r="BE265" s="1164"/>
      <c r="BF265" s="1164"/>
      <c r="BG265" s="548"/>
      <c r="BH265" s="1164"/>
      <c r="BI265" s="1164"/>
      <c r="BJ265" s="1164"/>
      <c r="BK265" s="1164"/>
      <c r="BL265" s="1164"/>
      <c r="BM265" s="1636"/>
      <c r="BN265" s="570"/>
      <c r="BO265" s="570"/>
      <c r="BP265" s="570"/>
      <c r="BQ265" s="570"/>
      <c r="BR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5"/>
      <c r="AK266" s="1645"/>
      <c r="AL266" s="1645"/>
      <c r="AM266" s="1645"/>
      <c r="AN266" s="1645"/>
      <c r="AO266" s="1645"/>
      <c r="AP266" s="1645"/>
      <c r="AQ266" s="1645"/>
      <c r="AR266" s="1645"/>
      <c r="AS266" s="1645"/>
      <c r="AT266" s="1645"/>
      <c r="AU266" s="1645"/>
      <c r="AW266" s="1164"/>
      <c r="AX266" s="1640"/>
      <c r="AY266" s="1640"/>
      <c r="AZ266" s="1164"/>
      <c r="BA266" s="1164"/>
      <c r="BB266" s="1164"/>
      <c r="BC266" s="1164"/>
      <c r="BD266" s="1640"/>
      <c r="BE266" s="1164"/>
      <c r="BF266" s="1164"/>
      <c r="BG266" s="548"/>
      <c r="BH266" s="1164"/>
      <c r="BI266" s="1164"/>
      <c r="BJ266" s="1164"/>
      <c r="BK266" s="1164"/>
      <c r="BL266" s="1164"/>
      <c r="BM266" s="1636"/>
      <c r="BN266" s="570"/>
      <c r="BO266" s="570"/>
      <c r="BP266" s="570"/>
      <c r="BQ266" s="570"/>
      <c r="BR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1645"/>
      <c r="AF267" s="1645"/>
      <c r="AG267" s="1645"/>
      <c r="AH267" s="1645"/>
      <c r="AI267" s="1645"/>
      <c r="AJ267" s="1645"/>
      <c r="AK267" s="1645"/>
      <c r="AL267" s="1645"/>
      <c r="AM267" s="1645"/>
      <c r="AN267" s="1645"/>
      <c r="AO267" s="1645"/>
      <c r="AP267" s="1645"/>
      <c r="AQ267" s="1645"/>
      <c r="AR267" s="1645"/>
      <c r="AS267" s="1645"/>
      <c r="AT267" s="1645"/>
      <c r="AU267" s="1645"/>
      <c r="AW267" s="1164"/>
      <c r="AX267" s="1640"/>
      <c r="AY267" s="1640"/>
      <c r="AZ267" s="1164"/>
      <c r="BA267" s="1164"/>
      <c r="BB267" s="1164"/>
      <c r="BC267" s="1164"/>
      <c r="BD267" s="1640"/>
      <c r="BE267" s="1164"/>
      <c r="BF267" s="1164"/>
      <c r="BG267" s="548"/>
      <c r="BH267" s="1164"/>
      <c r="BI267" s="1164"/>
      <c r="BJ267" s="1164"/>
      <c r="BK267" s="1164"/>
      <c r="BL267" s="1164"/>
      <c r="BM267" s="1636"/>
      <c r="BN267" s="570"/>
      <c r="BO267" s="570"/>
      <c r="BP267" s="570"/>
      <c r="BQ267" s="570"/>
      <c r="BR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5"/>
      <c r="AL268" s="1645"/>
      <c r="AM268" s="1645"/>
      <c r="AN268" s="1645"/>
      <c r="AO268" s="1645"/>
      <c r="AP268" s="1645"/>
      <c r="AQ268" s="1645"/>
      <c r="AR268" s="1645"/>
      <c r="AS268" s="1645"/>
      <c r="AT268" s="1645"/>
      <c r="AU268" s="1645"/>
      <c r="AW268" s="1164"/>
      <c r="AX268" s="1640"/>
      <c r="AY268" s="1640"/>
      <c r="AZ268" s="1164"/>
      <c r="BA268" s="1164"/>
      <c r="BB268" s="1164"/>
      <c r="BC268" s="1164"/>
      <c r="BD268" s="1640"/>
      <c r="BE268" s="1164"/>
      <c r="BF268" s="1164"/>
      <c r="BG268" s="548"/>
      <c r="BH268" s="1164"/>
      <c r="BI268" s="1164"/>
      <c r="BJ268" s="1164"/>
      <c r="BK268" s="1164"/>
      <c r="BL268" s="1164"/>
      <c r="BM268" s="1636"/>
      <c r="BN268" s="570"/>
      <c r="BO268" s="570"/>
      <c r="BP268" s="570"/>
      <c r="BQ268" s="570"/>
      <c r="BR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1645"/>
      <c r="AF269" s="1645"/>
      <c r="AG269" s="1645"/>
      <c r="AH269" s="1645"/>
      <c r="AI269" s="1645"/>
      <c r="AJ269" s="1645"/>
      <c r="AK269" s="1645"/>
      <c r="AL269" s="1645"/>
      <c r="AM269" s="1645"/>
      <c r="AN269" s="1645"/>
      <c r="AO269" s="1645"/>
      <c r="AP269" s="1645"/>
      <c r="AQ269" s="1645"/>
      <c r="AR269" s="1645"/>
      <c r="AS269" s="1645"/>
      <c r="AT269" s="1645"/>
      <c r="AU269" s="1645"/>
      <c r="AW269" s="1164"/>
      <c r="AX269" s="1640"/>
      <c r="AY269" s="1640"/>
      <c r="AZ269" s="1164"/>
      <c r="BA269" s="1164"/>
      <c r="BB269" s="1164"/>
      <c r="BC269" s="1164"/>
      <c r="BD269" s="1640"/>
      <c r="BE269" s="1164"/>
      <c r="BF269" s="1164"/>
      <c r="BG269" s="548"/>
      <c r="BH269" s="1164"/>
      <c r="BI269" s="1164"/>
      <c r="BJ269" s="1164"/>
      <c r="BK269" s="1164"/>
      <c r="BL269" s="1164"/>
      <c r="BM269" s="1636"/>
      <c r="BN269" s="570"/>
      <c r="BO269" s="570"/>
      <c r="BP269" s="570"/>
      <c r="BQ269" s="570"/>
      <c r="BR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X270" s="1645"/>
      <c r="Y270" s="1645"/>
      <c r="Z270" s="1645"/>
      <c r="AA270" s="1645"/>
      <c r="AB270" s="1645"/>
      <c r="AC270" s="1645"/>
      <c r="AD270" s="1645"/>
      <c r="AE270" s="1645"/>
      <c r="AF270" s="1645"/>
      <c r="AG270" s="1645"/>
      <c r="AH270" s="1645"/>
      <c r="AI270" s="1645"/>
      <c r="AJ270" s="1645"/>
      <c r="AK270" s="1645"/>
      <c r="AL270" s="1645"/>
      <c r="AM270" s="1645"/>
      <c r="AN270" s="1645"/>
      <c r="AO270" s="1645"/>
      <c r="AP270" s="1645"/>
      <c r="AQ270" s="1645"/>
      <c r="AR270" s="1645"/>
      <c r="AS270" s="1645"/>
      <c r="AT270" s="1645"/>
      <c r="AU270" s="1645"/>
      <c r="AW270" s="1164"/>
      <c r="AX270" s="1640"/>
      <c r="AY270" s="1640"/>
      <c r="AZ270" s="1164"/>
      <c r="BA270" s="1164"/>
      <c r="BB270" s="1164"/>
      <c r="BC270" s="1164"/>
      <c r="BD270" s="1640"/>
      <c r="BE270" s="1164"/>
      <c r="BF270" s="1164"/>
      <c r="BG270" s="548"/>
      <c r="BH270" s="1164"/>
      <c r="BI270" s="1164"/>
      <c r="BJ270" s="1164"/>
      <c r="BK270" s="1164"/>
      <c r="BL270" s="1164"/>
      <c r="BM270" s="1636"/>
      <c r="BN270" s="570"/>
      <c r="BO270" s="570"/>
      <c r="BP270" s="570"/>
      <c r="BQ270" s="570"/>
      <c r="BR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X271" s="1645"/>
      <c r="Y271" s="1645"/>
      <c r="Z271" s="1645"/>
      <c r="AA271" s="1645"/>
      <c r="AB271" s="1645"/>
      <c r="AC271" s="1645"/>
      <c r="AD271" s="1645"/>
      <c r="AE271" s="1645"/>
      <c r="AF271" s="1645"/>
      <c r="AG271" s="1645"/>
      <c r="AH271" s="1645"/>
      <c r="AI271" s="1645"/>
      <c r="AJ271" s="1645"/>
      <c r="AK271" s="1645"/>
      <c r="AL271" s="1645"/>
      <c r="AM271" s="1645"/>
      <c r="AN271" s="1645"/>
      <c r="AO271" s="1645"/>
      <c r="AP271" s="1645"/>
      <c r="AQ271" s="1645"/>
      <c r="AR271" s="1645"/>
      <c r="AS271" s="1645"/>
      <c r="AT271" s="1645"/>
      <c r="AU271" s="1645"/>
      <c r="AW271" s="1164"/>
      <c r="AX271" s="1640"/>
      <c r="AY271" s="1640"/>
      <c r="AZ271" s="1164"/>
      <c r="BA271" s="1164"/>
      <c r="BB271" s="1164"/>
      <c r="BC271" s="1164"/>
      <c r="BD271" s="1640"/>
      <c r="BE271" s="1164"/>
      <c r="BF271" s="1164"/>
      <c r="BG271" s="548"/>
      <c r="BH271" s="1164"/>
      <c r="BI271" s="1164"/>
      <c r="BJ271" s="1164"/>
      <c r="BK271" s="1164"/>
      <c r="BL271" s="1164"/>
      <c r="BM271" s="1636"/>
      <c r="BN271" s="570"/>
      <c r="BO271" s="570"/>
      <c r="BP271" s="570"/>
      <c r="BQ271" s="570"/>
      <c r="BR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X272" s="1645"/>
      <c r="Y272" s="1645"/>
      <c r="Z272" s="1645"/>
      <c r="AA272" s="1645"/>
      <c r="AB272" s="1645"/>
      <c r="AC272" s="1645"/>
      <c r="AD272" s="1645"/>
      <c r="AE272" s="1645"/>
      <c r="AF272" s="1645"/>
      <c r="AG272" s="1645"/>
      <c r="AH272" s="1645"/>
      <c r="AI272" s="1645"/>
      <c r="AJ272" s="1645"/>
      <c r="AK272" s="1645"/>
      <c r="AL272" s="1645"/>
      <c r="AM272" s="1645"/>
      <c r="AN272" s="1645"/>
      <c r="AO272" s="1645"/>
      <c r="AP272" s="1645"/>
      <c r="AQ272" s="1645"/>
      <c r="AR272" s="1645"/>
      <c r="AS272" s="1645"/>
      <c r="AT272" s="1645"/>
      <c r="AU272" s="1645"/>
      <c r="AW272" s="1164"/>
      <c r="AX272" s="1640"/>
      <c r="AY272" s="1640"/>
      <c r="AZ272" s="1164"/>
      <c r="BA272" s="1164"/>
      <c r="BB272" s="1164"/>
      <c r="BC272" s="1164"/>
      <c r="BD272" s="1640"/>
      <c r="BE272" s="1164"/>
      <c r="BF272" s="1164"/>
      <c r="BG272" s="548"/>
      <c r="BH272" s="1164"/>
      <c r="BI272" s="1164"/>
      <c r="BJ272" s="1164"/>
      <c r="BK272" s="1164"/>
      <c r="BL272" s="1164"/>
      <c r="BM272" s="1636"/>
      <c r="BN272" s="570"/>
      <c r="BO272" s="570"/>
      <c r="BP272" s="570"/>
      <c r="BQ272" s="570"/>
      <c r="BR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X273" s="1645"/>
      <c r="Y273" s="1645"/>
      <c r="Z273" s="1645"/>
      <c r="AA273" s="1645"/>
      <c r="AB273" s="1645"/>
      <c r="AC273" s="1645"/>
      <c r="AD273" s="1645"/>
      <c r="AE273" s="1645"/>
      <c r="AF273" s="1645"/>
      <c r="AG273" s="1645"/>
      <c r="AH273" s="1645"/>
      <c r="AI273" s="1645"/>
      <c r="AJ273" s="1645"/>
      <c r="AK273" s="1645"/>
      <c r="AL273" s="1645"/>
      <c r="AM273" s="1645"/>
      <c r="AN273" s="1645"/>
      <c r="AO273" s="1645"/>
      <c r="AP273" s="1645"/>
      <c r="AQ273" s="1645"/>
      <c r="AR273" s="1645"/>
      <c r="AS273" s="1645"/>
      <c r="AT273" s="1645"/>
      <c r="AU273" s="1645"/>
      <c r="AW273" s="1164"/>
      <c r="AX273" s="1640"/>
      <c r="AY273" s="1640"/>
      <c r="AZ273" s="1164"/>
      <c r="BA273" s="1164"/>
      <c r="BB273" s="1164"/>
      <c r="BC273" s="1164"/>
      <c r="BD273" s="1640"/>
      <c r="BE273" s="1164"/>
      <c r="BF273" s="1164"/>
      <c r="BG273" s="548"/>
      <c r="BH273" s="1164"/>
      <c r="BI273" s="1164"/>
      <c r="BJ273" s="1164"/>
      <c r="BK273" s="1164"/>
      <c r="BL273" s="1164"/>
      <c r="BM273" s="1636"/>
      <c r="BN273" s="570"/>
      <c r="BO273" s="570"/>
      <c r="BP273" s="570"/>
      <c r="BQ273" s="570"/>
      <c r="BR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X274" s="1645"/>
      <c r="Y274" s="1645"/>
      <c r="Z274" s="1645"/>
      <c r="AA274" s="1645"/>
      <c r="AB274" s="1645"/>
      <c r="AC274" s="1645"/>
      <c r="AD274" s="1645"/>
      <c r="AE274" s="1645"/>
      <c r="AF274" s="1645"/>
      <c r="AG274" s="1645"/>
      <c r="AH274" s="1645"/>
      <c r="AI274" s="1645"/>
      <c r="AJ274" s="1645"/>
      <c r="AK274" s="1645"/>
      <c r="AL274" s="1645"/>
      <c r="AM274" s="1645"/>
      <c r="AN274" s="1645"/>
      <c r="AO274" s="1645"/>
      <c r="AP274" s="1645"/>
      <c r="AQ274" s="1645"/>
      <c r="AR274" s="1645"/>
      <c r="AS274" s="1645"/>
      <c r="AT274" s="1645"/>
      <c r="AU274" s="1645"/>
      <c r="AW274" s="1164"/>
      <c r="AX274" s="1640"/>
      <c r="AY274" s="1640"/>
      <c r="AZ274" s="1164"/>
      <c r="BA274" s="1164"/>
      <c r="BB274" s="1164"/>
      <c r="BC274" s="1164"/>
      <c r="BD274" s="1640"/>
      <c r="BE274" s="1164"/>
      <c r="BF274" s="1164"/>
      <c r="BG274" s="548"/>
      <c r="BH274" s="1164"/>
      <c r="BI274" s="1164"/>
      <c r="BJ274" s="1164"/>
      <c r="BK274" s="1164"/>
      <c r="BL274" s="1164"/>
      <c r="BM274" s="1636"/>
      <c r="BN274" s="570"/>
      <c r="BO274" s="570"/>
      <c r="BP274" s="570"/>
      <c r="BQ274" s="570"/>
      <c r="BR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E275" s="1645"/>
      <c r="AF275" s="1645"/>
      <c r="AG275" s="1645"/>
      <c r="AH275" s="1645"/>
      <c r="AI275" s="1645"/>
      <c r="AJ275" s="1645"/>
      <c r="AK275" s="1645"/>
      <c r="AL275" s="1645"/>
      <c r="AM275" s="1645"/>
      <c r="AN275" s="1645"/>
      <c r="AO275" s="1645"/>
      <c r="AP275" s="1645"/>
      <c r="AQ275" s="1645"/>
      <c r="AR275" s="1645"/>
      <c r="AS275" s="1645"/>
      <c r="AT275" s="1645"/>
      <c r="AU275" s="1645"/>
      <c r="AW275" s="1164"/>
      <c r="AX275" s="1640"/>
      <c r="AY275" s="1640"/>
      <c r="AZ275" s="1164"/>
      <c r="BA275" s="1164"/>
      <c r="BB275" s="1164"/>
      <c r="BC275" s="1164"/>
      <c r="BD275" s="1640"/>
      <c r="BE275" s="1164"/>
      <c r="BF275" s="1164"/>
      <c r="BG275" s="548"/>
      <c r="BH275" s="1164"/>
      <c r="BI275" s="1164"/>
      <c r="BJ275" s="1164"/>
      <c r="BK275" s="1164"/>
      <c r="BL275" s="1164"/>
      <c r="BM275" s="1636"/>
      <c r="BN275" s="570"/>
      <c r="BO275" s="570"/>
      <c r="BP275" s="570"/>
      <c r="BQ275" s="570"/>
      <c r="BR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645"/>
      <c r="AF276" s="1645"/>
      <c r="AG276" s="1645"/>
      <c r="AH276" s="1645"/>
      <c r="AI276" s="1645"/>
      <c r="AJ276" s="1645"/>
      <c r="AK276" s="1645"/>
      <c r="AL276" s="1645"/>
      <c r="AM276" s="1645"/>
      <c r="AN276" s="1645"/>
      <c r="AO276" s="1645"/>
      <c r="AP276" s="1645"/>
      <c r="AQ276" s="1645"/>
      <c r="AR276" s="1645"/>
      <c r="AS276" s="1645"/>
      <c r="AT276" s="1645"/>
      <c r="AU276" s="1645"/>
      <c r="AW276" s="1164"/>
      <c r="AX276" s="1640"/>
      <c r="AY276" s="1640"/>
      <c r="AZ276" s="1164"/>
      <c r="BA276" s="1164"/>
      <c r="BB276" s="1164"/>
      <c r="BC276" s="1164"/>
      <c r="BD276" s="1640"/>
      <c r="BE276" s="1164"/>
      <c r="BF276" s="1164"/>
      <c r="BG276" s="548"/>
      <c r="BH276" s="1164"/>
      <c r="BI276" s="1164"/>
      <c r="BJ276" s="1164"/>
      <c r="BK276" s="1164"/>
      <c r="BL276" s="1164"/>
      <c r="BM276" s="1636"/>
      <c r="BN276" s="570"/>
      <c r="BO276" s="570"/>
      <c r="BP276" s="570"/>
      <c r="BQ276" s="570"/>
      <c r="BR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645"/>
      <c r="AF277" s="1645"/>
      <c r="AG277" s="1645"/>
      <c r="AH277" s="1645"/>
      <c r="AI277" s="1645"/>
      <c r="AJ277" s="1645"/>
      <c r="AK277" s="1645"/>
      <c r="AL277" s="1645"/>
      <c r="AM277" s="1645"/>
      <c r="AN277" s="1645"/>
      <c r="AO277" s="1645"/>
      <c r="AP277" s="1645"/>
      <c r="AQ277" s="1645"/>
      <c r="AR277" s="1645"/>
      <c r="AS277" s="1645"/>
      <c r="AT277" s="1645"/>
      <c r="AU277" s="1645"/>
      <c r="AW277" s="1164"/>
      <c r="AX277" s="1640"/>
      <c r="AY277" s="1640"/>
      <c r="AZ277" s="1164"/>
      <c r="BA277" s="1164"/>
      <c r="BB277" s="1164"/>
      <c r="BC277" s="1164"/>
      <c r="BD277" s="1640"/>
      <c r="BE277" s="1164"/>
      <c r="BF277" s="1164"/>
      <c r="BG277" s="548"/>
      <c r="BH277" s="1164"/>
      <c r="BI277" s="1164"/>
      <c r="BJ277" s="1164"/>
      <c r="BK277" s="1164"/>
      <c r="BL277" s="1164"/>
      <c r="BM277" s="1636"/>
      <c r="BN277" s="570"/>
      <c r="BO277" s="570"/>
      <c r="BP277" s="570"/>
      <c r="BQ277" s="570"/>
      <c r="BR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X278" s="1645"/>
      <c r="Y278" s="1645"/>
      <c r="Z278" s="1645"/>
      <c r="AA278" s="1645"/>
      <c r="AB278" s="1645"/>
      <c r="AC278" s="1645"/>
      <c r="AD278" s="1645"/>
      <c r="AE278" s="1645"/>
      <c r="AF278" s="1645"/>
      <c r="AG278" s="1645"/>
      <c r="AH278" s="1645"/>
      <c r="AI278" s="1645"/>
      <c r="AJ278" s="1645"/>
      <c r="AK278" s="1645"/>
      <c r="AL278" s="1645"/>
      <c r="AM278" s="1645"/>
      <c r="AN278" s="1645"/>
      <c r="AO278" s="1645"/>
      <c r="AP278" s="1645"/>
      <c r="AQ278" s="1645"/>
      <c r="AR278" s="1645"/>
      <c r="AS278" s="1645"/>
      <c r="AT278" s="1645"/>
      <c r="AU278" s="1645"/>
      <c r="AW278" s="1164"/>
      <c r="AX278" s="1640"/>
      <c r="AY278" s="1640"/>
      <c r="AZ278" s="1164"/>
      <c r="BA278" s="1164"/>
      <c r="BB278" s="1164"/>
      <c r="BC278" s="1164"/>
      <c r="BD278" s="1640"/>
      <c r="BE278" s="1164"/>
      <c r="BF278" s="1164"/>
      <c r="BG278" s="548"/>
      <c r="BH278" s="1164"/>
      <c r="BI278" s="1164"/>
      <c r="BJ278" s="1164"/>
      <c r="BK278" s="1164"/>
      <c r="BL278" s="1164"/>
      <c r="BM278" s="1636"/>
      <c r="BN278" s="570"/>
      <c r="BO278" s="570"/>
      <c r="BP278" s="570"/>
      <c r="BQ278" s="570"/>
      <c r="BR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X279" s="1645"/>
      <c r="Y279" s="1645"/>
      <c r="Z279" s="1645"/>
      <c r="AA279" s="1645"/>
      <c r="AB279" s="1645"/>
      <c r="AC279" s="1645"/>
      <c r="AD279" s="1645"/>
      <c r="AE279" s="1645"/>
      <c r="AF279" s="1645"/>
      <c r="AG279" s="1645"/>
      <c r="AH279" s="1645"/>
      <c r="AI279" s="1645"/>
      <c r="AJ279" s="1645"/>
      <c r="AK279" s="1645"/>
      <c r="AL279" s="1645"/>
      <c r="AM279" s="1645"/>
      <c r="AN279" s="1645"/>
      <c r="AO279" s="1645"/>
      <c r="AP279" s="1645"/>
      <c r="AQ279" s="1645"/>
      <c r="AR279" s="1645"/>
      <c r="AS279" s="1645"/>
      <c r="AT279" s="1645"/>
      <c r="AU279" s="1645"/>
      <c r="AW279" s="1164"/>
      <c r="AX279" s="1640"/>
      <c r="AY279" s="1640"/>
      <c r="AZ279" s="1164"/>
      <c r="BA279" s="1164"/>
      <c r="BB279" s="1164"/>
      <c r="BC279" s="1164"/>
      <c r="BD279" s="1640"/>
      <c r="BE279" s="1164"/>
      <c r="BF279" s="1164"/>
      <c r="BG279" s="548"/>
      <c r="BH279" s="1164"/>
      <c r="BI279" s="1164"/>
      <c r="BJ279" s="1164"/>
      <c r="BK279" s="1164"/>
      <c r="BL279" s="1164"/>
      <c r="BM279" s="1636"/>
      <c r="BN279" s="570"/>
      <c r="BO279" s="570"/>
      <c r="BP279" s="570"/>
      <c r="BQ279" s="570"/>
      <c r="BR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X280" s="1645"/>
      <c r="Y280" s="1645"/>
      <c r="Z280" s="1645"/>
      <c r="AA280" s="1645"/>
      <c r="AB280" s="1645"/>
      <c r="AC280" s="1645"/>
      <c r="AD280" s="1645"/>
      <c r="AE280" s="1645"/>
      <c r="AF280" s="1645"/>
      <c r="AG280" s="1645"/>
      <c r="AH280" s="1645"/>
      <c r="AI280" s="1645"/>
      <c r="AJ280" s="1645"/>
      <c r="AK280" s="1645"/>
      <c r="AL280" s="1645"/>
      <c r="AM280" s="1645"/>
      <c r="AN280" s="1645"/>
      <c r="AO280" s="1645"/>
      <c r="AP280" s="1645"/>
      <c r="AQ280" s="1645"/>
      <c r="AR280" s="1645"/>
      <c r="AS280" s="1645"/>
      <c r="AT280" s="1645"/>
      <c r="AU280" s="1645"/>
      <c r="AW280" s="1164"/>
      <c r="AX280" s="1640"/>
      <c r="AY280" s="1640"/>
      <c r="AZ280" s="1164"/>
      <c r="BA280" s="1164"/>
      <c r="BB280" s="1164"/>
      <c r="BC280" s="1164"/>
      <c r="BD280" s="1640"/>
      <c r="BE280" s="1164"/>
      <c r="BF280" s="1164"/>
      <c r="BG280" s="548"/>
      <c r="BH280" s="1164"/>
      <c r="BI280" s="1164"/>
      <c r="BJ280" s="1164"/>
      <c r="BK280" s="1164"/>
      <c r="BL280" s="1164"/>
      <c r="BM280" s="1636"/>
      <c r="BN280" s="570"/>
      <c r="BO280" s="570"/>
      <c r="BP280" s="570"/>
      <c r="BQ280" s="570"/>
      <c r="BR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1645"/>
      <c r="AN281" s="1645"/>
      <c r="AO281" s="1645"/>
      <c r="AP281" s="1645"/>
      <c r="AQ281" s="1645"/>
      <c r="AR281" s="1645"/>
      <c r="AS281" s="1645"/>
      <c r="AT281" s="1645"/>
      <c r="AU281" s="1645"/>
      <c r="AW281" s="1164"/>
      <c r="AX281" s="1640"/>
      <c r="AY281" s="1640"/>
      <c r="AZ281" s="1164"/>
      <c r="BA281" s="1164"/>
      <c r="BB281" s="1164"/>
      <c r="BC281" s="1164"/>
      <c r="BD281" s="1640"/>
      <c r="BE281" s="1164"/>
      <c r="BF281" s="1164"/>
      <c r="BG281" s="548"/>
      <c r="BH281" s="1164"/>
      <c r="BI281" s="1164"/>
      <c r="BJ281" s="1164"/>
      <c r="BK281" s="1164"/>
      <c r="BL281" s="1164"/>
      <c r="BM281" s="1636"/>
      <c r="BN281" s="570"/>
      <c r="BO281" s="570"/>
      <c r="BP281" s="570"/>
      <c r="BQ281" s="570"/>
      <c r="BR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1645"/>
      <c r="AN282" s="1645"/>
      <c r="AO282" s="1645"/>
      <c r="AP282" s="1645"/>
      <c r="AQ282" s="1645"/>
      <c r="AR282" s="1645"/>
      <c r="AS282" s="1645"/>
      <c r="AT282" s="1645"/>
      <c r="AU282" s="1645"/>
      <c r="AW282" s="1164"/>
      <c r="AX282" s="1640"/>
      <c r="AY282" s="1640"/>
      <c r="AZ282" s="1164"/>
      <c r="BA282" s="1164"/>
      <c r="BB282" s="1164"/>
      <c r="BC282" s="1164"/>
      <c r="BD282" s="1640"/>
      <c r="BE282" s="1164"/>
      <c r="BF282" s="1164"/>
      <c r="BG282" s="548"/>
      <c r="BH282" s="1164"/>
      <c r="BI282" s="1164"/>
      <c r="BJ282" s="1164"/>
      <c r="BK282" s="1164"/>
      <c r="BL282" s="1164"/>
      <c r="BM282" s="1636"/>
      <c r="BN282" s="570"/>
      <c r="BO282" s="570"/>
      <c r="BP282" s="570"/>
      <c r="BQ282" s="570"/>
      <c r="BR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X283" s="1645"/>
      <c r="Y283" s="1645"/>
      <c r="Z283" s="1645"/>
      <c r="AA283" s="1645"/>
      <c r="AB283" s="1645"/>
      <c r="AC283" s="1645"/>
      <c r="AD283" s="1645"/>
      <c r="AE283" s="1645"/>
      <c r="AF283" s="1645"/>
      <c r="AG283" s="1645"/>
      <c r="AH283" s="1645"/>
      <c r="AI283" s="1645"/>
      <c r="AJ283" s="1645"/>
      <c r="AK283" s="1645"/>
      <c r="AL283" s="1645"/>
      <c r="AM283" s="1645"/>
      <c r="AN283" s="1645"/>
      <c r="AO283" s="1645"/>
      <c r="AP283" s="1645"/>
      <c r="AQ283" s="1645"/>
      <c r="AR283" s="1645"/>
      <c r="AS283" s="1645"/>
      <c r="AT283" s="1645"/>
      <c r="AU283" s="1645"/>
      <c r="AW283" s="1164"/>
      <c r="AX283" s="1640"/>
      <c r="AY283" s="1640"/>
      <c r="AZ283" s="1164"/>
      <c r="BA283" s="1164"/>
      <c r="BB283" s="1164"/>
      <c r="BC283" s="1164"/>
      <c r="BD283" s="1640"/>
      <c r="BE283" s="1164"/>
      <c r="BF283" s="1164"/>
      <c r="BG283" s="548"/>
      <c r="BH283" s="1164"/>
      <c r="BI283" s="1164"/>
      <c r="BJ283" s="1164"/>
      <c r="BK283" s="1164"/>
      <c r="BL283" s="1164"/>
      <c r="BM283" s="1636"/>
      <c r="BN283" s="570"/>
      <c r="BO283" s="570"/>
      <c r="BP283" s="570"/>
      <c r="BQ283" s="570"/>
      <c r="BR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X284" s="1645"/>
      <c r="Y284" s="1645"/>
      <c r="Z284" s="1645"/>
      <c r="AA284" s="1645"/>
      <c r="AB284" s="1645"/>
      <c r="AC284" s="1645"/>
      <c r="AD284" s="1645"/>
      <c r="AE284" s="1645"/>
      <c r="AF284" s="1645"/>
      <c r="AG284" s="1645"/>
      <c r="AH284" s="1645"/>
      <c r="AI284" s="1645"/>
      <c r="AJ284" s="1645"/>
      <c r="AK284" s="1645"/>
      <c r="AL284" s="1645"/>
      <c r="AM284" s="1645"/>
      <c r="AN284" s="1645"/>
      <c r="AO284" s="1645"/>
      <c r="AP284" s="1645"/>
      <c r="AQ284" s="1645"/>
      <c r="AR284" s="1645"/>
      <c r="AS284" s="1645"/>
      <c r="AT284" s="1645"/>
      <c r="AU284" s="1645"/>
      <c r="AW284" s="1164"/>
      <c r="AX284" s="1640"/>
      <c r="AY284" s="1640"/>
      <c r="AZ284" s="1164"/>
      <c r="BA284" s="1164"/>
      <c r="BB284" s="1164"/>
      <c r="BC284" s="1164"/>
      <c r="BD284" s="1640"/>
      <c r="BE284" s="1164"/>
      <c r="BF284" s="1164"/>
      <c r="BG284" s="548"/>
      <c r="BH284" s="1164"/>
      <c r="BI284" s="1164"/>
      <c r="BJ284" s="1164"/>
      <c r="BK284" s="1164"/>
      <c r="BL284" s="1164"/>
      <c r="BM284" s="1636"/>
      <c r="BN284" s="570"/>
      <c r="BO284" s="570"/>
      <c r="BP284" s="570"/>
      <c r="BQ284" s="570"/>
      <c r="BR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X285" s="1645"/>
      <c r="Y285" s="1645"/>
      <c r="Z285" s="1645"/>
      <c r="AA285" s="1645"/>
      <c r="AB285" s="1645"/>
      <c r="AC285" s="1645"/>
      <c r="AD285" s="1645"/>
      <c r="AE285" s="1645"/>
      <c r="AF285" s="1645"/>
      <c r="AG285" s="1645"/>
      <c r="AH285" s="1645"/>
      <c r="AI285" s="1645"/>
      <c r="AJ285" s="1645"/>
      <c r="AK285" s="1645"/>
      <c r="AL285" s="1645"/>
      <c r="AM285" s="1645"/>
      <c r="AN285" s="1645"/>
      <c r="AO285" s="1645"/>
      <c r="AP285" s="1645"/>
      <c r="AQ285" s="1645"/>
      <c r="AR285" s="1645"/>
      <c r="AS285" s="1645"/>
      <c r="AT285" s="1645"/>
      <c r="AU285" s="1645"/>
      <c r="AW285" s="1164"/>
      <c r="AX285" s="1640"/>
      <c r="AY285" s="1640"/>
      <c r="AZ285" s="1164"/>
      <c r="BA285" s="1164"/>
      <c r="BB285" s="1164"/>
      <c r="BC285" s="1164"/>
      <c r="BD285" s="1640"/>
      <c r="BE285" s="1164"/>
      <c r="BF285" s="1164"/>
      <c r="BG285" s="548"/>
      <c r="BH285" s="1164"/>
      <c r="BI285" s="1164"/>
      <c r="BJ285" s="1164"/>
      <c r="BK285" s="1164"/>
      <c r="BL285" s="1164"/>
      <c r="BM285" s="1636"/>
      <c r="BN285" s="570"/>
      <c r="BO285" s="570"/>
      <c r="BP285" s="570"/>
      <c r="BQ285" s="570"/>
      <c r="BR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X286" s="1645"/>
      <c r="Y286" s="1645"/>
      <c r="Z286" s="1645"/>
      <c r="AA286" s="1645"/>
      <c r="AB286" s="1645"/>
      <c r="AC286" s="1645"/>
      <c r="AD286" s="1645"/>
      <c r="AE286" s="1645"/>
      <c r="AF286" s="1645"/>
      <c r="AG286" s="1645"/>
      <c r="AH286" s="1645"/>
      <c r="AI286" s="1645"/>
      <c r="AJ286" s="1645"/>
      <c r="AK286" s="1645"/>
      <c r="AL286" s="1645"/>
      <c r="AM286" s="1645"/>
      <c r="AN286" s="1645"/>
      <c r="AO286" s="1645"/>
      <c r="AP286" s="1645"/>
      <c r="AQ286" s="1645"/>
      <c r="AR286" s="1645"/>
      <c r="AS286" s="1645"/>
      <c r="AT286" s="1645"/>
      <c r="AU286" s="1645"/>
      <c r="AW286" s="1164"/>
      <c r="AX286" s="1640"/>
      <c r="AY286" s="1640"/>
      <c r="AZ286" s="1164"/>
      <c r="BA286" s="1164"/>
      <c r="BB286" s="1164"/>
      <c r="BC286" s="1164"/>
      <c r="BD286" s="1640"/>
      <c r="BE286" s="1164"/>
      <c r="BF286" s="1164"/>
      <c r="BG286" s="548"/>
      <c r="BH286" s="1164"/>
      <c r="BI286" s="1164"/>
      <c r="BJ286" s="1164"/>
      <c r="BK286" s="1164"/>
      <c r="BL286" s="1164"/>
      <c r="BM286" s="1636"/>
      <c r="BN286" s="570"/>
      <c r="BO286" s="570"/>
      <c r="BP286" s="570"/>
      <c r="BQ286" s="570"/>
      <c r="BR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X287" s="1645"/>
      <c r="Y287" s="1645"/>
      <c r="Z287" s="1645"/>
      <c r="AA287" s="1645"/>
      <c r="AB287" s="1645"/>
      <c r="AC287" s="1645"/>
      <c r="AD287" s="1645"/>
      <c r="AE287" s="1645"/>
      <c r="AF287" s="1645"/>
      <c r="AG287" s="1645"/>
      <c r="AH287" s="1645"/>
      <c r="AI287" s="1645"/>
      <c r="AJ287" s="1645"/>
      <c r="AK287" s="1645"/>
      <c r="AL287" s="1645"/>
      <c r="AM287" s="1645"/>
      <c r="AN287" s="1645"/>
      <c r="AO287" s="1645"/>
      <c r="AP287" s="1645"/>
      <c r="AQ287" s="1645"/>
      <c r="AR287" s="1645"/>
      <c r="AS287" s="1645"/>
      <c r="AT287" s="1645"/>
      <c r="AU287" s="1645"/>
      <c r="AW287" s="1164"/>
      <c r="AX287" s="1640"/>
      <c r="AY287" s="1640"/>
      <c r="AZ287" s="1164"/>
      <c r="BA287" s="1164"/>
      <c r="BB287" s="1164"/>
      <c r="BC287" s="1164"/>
      <c r="BD287" s="1640"/>
      <c r="BE287" s="1164"/>
      <c r="BF287" s="1164"/>
      <c r="BG287" s="548"/>
      <c r="BH287" s="1164"/>
      <c r="BI287" s="1164"/>
      <c r="BJ287" s="1164"/>
      <c r="BK287" s="1164"/>
      <c r="BL287" s="1164"/>
      <c r="BM287" s="1636"/>
      <c r="BN287" s="570"/>
      <c r="BO287" s="570"/>
      <c r="BP287" s="570"/>
      <c r="BQ287" s="570"/>
      <c r="BR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X288" s="1645"/>
      <c r="Y288" s="1645"/>
      <c r="Z288" s="1645"/>
      <c r="AA288" s="1645"/>
      <c r="AB288" s="1645"/>
      <c r="AC288" s="1645"/>
      <c r="AD288" s="1645"/>
      <c r="AE288" s="1645"/>
      <c r="AF288" s="1645"/>
      <c r="AG288" s="1645"/>
      <c r="AH288" s="1645"/>
      <c r="AI288" s="1645"/>
      <c r="AJ288" s="1645"/>
      <c r="AK288" s="1645"/>
      <c r="AL288" s="1645"/>
      <c r="AM288" s="1645"/>
      <c r="AN288" s="1645"/>
      <c r="AO288" s="1645"/>
      <c r="AP288" s="1645"/>
      <c r="AQ288" s="1645"/>
      <c r="AR288" s="1645"/>
      <c r="AS288" s="1645"/>
      <c r="AT288" s="1645"/>
      <c r="AU288" s="1645"/>
      <c r="AW288" s="1164"/>
      <c r="AX288" s="1640"/>
      <c r="AY288" s="1640"/>
      <c r="AZ288" s="1164"/>
      <c r="BA288" s="1164"/>
      <c r="BB288" s="1164"/>
      <c r="BC288" s="1164"/>
      <c r="BD288" s="1640"/>
      <c r="BE288" s="1164"/>
      <c r="BF288" s="1164"/>
      <c r="BG288" s="548"/>
      <c r="BH288" s="1164"/>
      <c r="BI288" s="1164"/>
      <c r="BJ288" s="1164"/>
      <c r="BK288" s="1164"/>
      <c r="BL288" s="1164"/>
      <c r="BM288" s="1636"/>
      <c r="BN288" s="570"/>
      <c r="BO288" s="570"/>
      <c r="BP288" s="570"/>
      <c r="BQ288" s="570"/>
      <c r="BR288" s="1645">
        <v>11</v>
      </c>
    </row>
    <row s="1645" customFormat="1" customHeight="1" ht="11.549999999999999">
      <c r="A289" s="991"/>
      <c r="B289" s="1640"/>
      <c r="C289" s="1640"/>
      <c r="D289" s="355"/>
      <c r="J289" s="1645"/>
      <c r="K289" s="1645"/>
      <c r="L289" s="1645"/>
      <c r="M289" s="1645"/>
      <c r="N289" s="1645"/>
      <c r="O289" s="1645"/>
      <c r="P289" s="1645"/>
      <c r="Q289" s="1645"/>
      <c r="R289" s="1645"/>
      <c r="S289" s="1645"/>
      <c r="T289" s="1645"/>
      <c r="U289" s="1645"/>
      <c r="V289" s="1645"/>
      <c r="W289" s="1645"/>
      <c r="X289" s="1645"/>
      <c r="Y289" s="1645"/>
      <c r="Z289" s="1645"/>
      <c r="AA289" s="1645"/>
      <c r="AB289" s="1645"/>
      <c r="AC289" s="1645"/>
      <c r="AD289" s="1645"/>
      <c r="AE289" s="1645"/>
      <c r="AF289" s="1645"/>
      <c r="AG289" s="1645"/>
      <c r="AH289" s="1645"/>
      <c r="AI289" s="1645"/>
      <c r="AJ289" s="1645"/>
      <c r="AK289" s="1645"/>
      <c r="AL289" s="1645"/>
      <c r="AM289" s="1645"/>
      <c r="AN289" s="1645"/>
      <c r="AO289" s="1645"/>
      <c r="AP289" s="1645"/>
      <c r="AQ289" s="1645"/>
      <c r="AR289" s="1645"/>
      <c r="AS289" s="1645"/>
      <c r="AT289" s="1645"/>
      <c r="AU289" s="1645"/>
      <c r="AW289" s="1164"/>
      <c r="AX289" s="1640"/>
      <c r="AY289" s="1640"/>
      <c r="AZ289" s="1164"/>
      <c r="BA289" s="1164"/>
      <c r="BB289" s="1164"/>
      <c r="BC289" s="1164"/>
      <c r="BD289" s="1640"/>
      <c r="BE289" s="1164"/>
      <c r="BF289" s="1164"/>
      <c r="BG289" s="548"/>
      <c r="BH289" s="1164"/>
      <c r="BI289" s="1164"/>
      <c r="BJ289" s="1164"/>
      <c r="BK289" s="1164"/>
      <c r="BL289" s="1164"/>
      <c r="BM289" s="1636"/>
      <c r="BN289" s="570"/>
      <c r="BO289" s="570"/>
      <c r="BP289" s="570"/>
      <c r="BQ289" s="570"/>
      <c r="BR289" s="1645">
        <v>11</v>
      </c>
    </row>
    <row s="1645" customFormat="1" customHeight="1" ht="11.549999999999999">
      <c r="A290" s="991"/>
      <c r="B290" s="1640"/>
      <c r="C290" s="1640"/>
      <c r="D290" s="355"/>
      <c r="J290" s="1645"/>
      <c r="K290" s="1645"/>
      <c r="L290" s="1645"/>
      <c r="M290" s="1645"/>
      <c r="N290" s="1645"/>
      <c r="O290" s="1645"/>
      <c r="P290" s="1645"/>
      <c r="Q290" s="1645"/>
      <c r="R290" s="1645"/>
      <c r="S290" s="1645"/>
      <c r="T290" s="1645"/>
      <c r="U290" s="1645"/>
      <c r="V290" s="1645"/>
      <c r="W290" s="1645"/>
      <c r="X290" s="1645"/>
      <c r="Y290" s="1645"/>
      <c r="Z290" s="1645"/>
      <c r="AA290" s="1645"/>
      <c r="AB290" s="1645"/>
      <c r="AC290" s="1645"/>
      <c r="AD290" s="1645"/>
      <c r="AE290" s="1645"/>
      <c r="AF290" s="1645"/>
      <c r="AG290" s="1645"/>
      <c r="AH290" s="1645"/>
      <c r="AI290" s="1645"/>
      <c r="AJ290" s="1645"/>
      <c r="AK290" s="1645"/>
      <c r="AL290" s="1645"/>
      <c r="AM290" s="1645"/>
      <c r="AN290" s="1645"/>
      <c r="AO290" s="1645"/>
      <c r="AP290" s="1645"/>
      <c r="AQ290" s="1645"/>
      <c r="AR290" s="1645"/>
      <c r="AS290" s="1645"/>
      <c r="AT290" s="1645"/>
      <c r="AU290" s="1645"/>
      <c r="AW290" s="1164"/>
      <c r="AX290" s="1640"/>
      <c r="AY290" s="1640"/>
      <c r="AZ290" s="1164"/>
      <c r="BA290" s="1164"/>
      <c r="BB290" s="1164"/>
      <c r="BC290" s="1164"/>
      <c r="BD290" s="1640"/>
      <c r="BE290" s="1164"/>
      <c r="BF290" s="1164"/>
      <c r="BG290" s="548"/>
      <c r="BH290" s="1164"/>
      <c r="BI290" s="1164"/>
      <c r="BJ290" s="1164"/>
      <c r="BK290" s="1164"/>
      <c r="BL290" s="1164"/>
      <c r="BM290" s="1636"/>
      <c r="BN290" s="570"/>
      <c r="BO290" s="570"/>
      <c r="BP290" s="570"/>
      <c r="BQ290" s="570"/>
      <c r="BR290" s="1645">
        <v>11</v>
      </c>
    </row>
    <row s="1645" customFormat="1" customHeight="1" ht="11.549999999999999">
      <c r="A291" s="991"/>
      <c r="B291" s="1640"/>
      <c r="C291" s="1640"/>
      <c r="D291" s="355"/>
      <c r="J291" s="1645"/>
      <c r="K291" s="1645"/>
      <c r="L291" s="1645"/>
      <c r="M291" s="1645"/>
      <c r="N291" s="1645"/>
      <c r="O291" s="1645"/>
      <c r="P291" s="1645"/>
      <c r="Q291" s="1645"/>
      <c r="R291" s="1645"/>
      <c r="S291" s="1645"/>
      <c r="T291" s="1645"/>
      <c r="U291" s="1645"/>
      <c r="V291" s="1645"/>
      <c r="W291" s="1645"/>
      <c r="X291" s="1645"/>
      <c r="Y291" s="1645"/>
      <c r="Z291" s="1645"/>
      <c r="AA291" s="1645"/>
      <c r="AB291" s="1645"/>
      <c r="AC291" s="1645"/>
      <c r="AD291" s="1645"/>
      <c r="AE291" s="1645"/>
      <c r="AF291" s="1645"/>
      <c r="AG291" s="1645"/>
      <c r="AH291" s="1645"/>
      <c r="AI291" s="1645"/>
      <c r="AJ291" s="1645"/>
      <c r="AK291" s="1645"/>
      <c r="AL291" s="1645"/>
      <c r="AM291" s="1645"/>
      <c r="AN291" s="1645"/>
      <c r="AO291" s="1645"/>
      <c r="AP291" s="1645"/>
      <c r="AQ291" s="1645"/>
      <c r="AR291" s="1645"/>
      <c r="AS291" s="1645"/>
      <c r="AT291" s="1645"/>
      <c r="AU291" s="1645"/>
      <c r="AW291" s="1164"/>
      <c r="AX291" s="1640"/>
      <c r="AY291" s="1640"/>
      <c r="AZ291" s="1164"/>
      <c r="BA291" s="1164"/>
      <c r="BB291" s="1164"/>
      <c r="BC291" s="1164"/>
      <c r="BD291" s="1640"/>
      <c r="BE291" s="1164"/>
      <c r="BF291" s="1164"/>
      <c r="BG291" s="548"/>
      <c r="BH291" s="1164"/>
      <c r="BI291" s="1164"/>
      <c r="BJ291" s="1164"/>
      <c r="BK291" s="1164"/>
      <c r="BL291" s="1164"/>
      <c r="BM291" s="1636"/>
      <c r="BN291" s="570"/>
      <c r="BO291" s="570"/>
      <c r="BP291" s="570"/>
      <c r="BQ291" s="570"/>
      <c r="BR291" s="1645">
        <v>11</v>
      </c>
    </row>
    <row s="1645" customFormat="1" customHeight="1" ht="11.549999999999999">
      <c r="A292" s="991"/>
      <c r="B292" s="1640"/>
      <c r="C292" s="1640"/>
      <c r="D292" s="355"/>
      <c r="J292" s="1645"/>
      <c r="K292" s="1645"/>
      <c r="L292" s="1645"/>
      <c r="M292" s="1645"/>
      <c r="N292" s="1645"/>
      <c r="O292" s="1645"/>
      <c r="P292" s="1645"/>
      <c r="Q292" s="1645"/>
      <c r="R292" s="1645"/>
      <c r="S292" s="1645"/>
      <c r="T292" s="1645"/>
      <c r="U292" s="1645"/>
      <c r="V292" s="1645"/>
      <c r="W292" s="1645"/>
      <c r="X292" s="1645"/>
      <c r="Y292" s="1645"/>
      <c r="Z292" s="1645"/>
      <c r="AA292" s="1645"/>
      <c r="AB292" s="1645"/>
      <c r="AC292" s="1645"/>
      <c r="AD292" s="1645"/>
      <c r="AE292" s="1645"/>
      <c r="AF292" s="1645"/>
      <c r="AG292" s="1645"/>
      <c r="AH292" s="1645"/>
      <c r="AI292" s="1645"/>
      <c r="AJ292" s="1645"/>
      <c r="AK292" s="1645"/>
      <c r="AL292" s="1645"/>
      <c r="AM292" s="1645"/>
      <c r="AN292" s="1645"/>
      <c r="AO292" s="1645"/>
      <c r="AP292" s="1645"/>
      <c r="AQ292" s="1645"/>
      <c r="AR292" s="1645"/>
      <c r="AS292" s="1645"/>
      <c r="AT292" s="1645"/>
      <c r="AU292" s="1645"/>
      <c r="AW292" s="1164"/>
      <c r="AX292" s="1640"/>
      <c r="AY292" s="1640"/>
      <c r="AZ292" s="1164"/>
      <c r="BA292" s="1164"/>
      <c r="BB292" s="1164"/>
      <c r="BC292" s="1164"/>
      <c r="BD292" s="1640"/>
      <c r="BE292" s="1164"/>
      <c r="BF292" s="1164"/>
      <c r="BG292" s="548"/>
      <c r="BH292" s="1164"/>
      <c r="BI292" s="1164"/>
      <c r="BJ292" s="1164"/>
      <c r="BK292" s="1164"/>
      <c r="BL292" s="1164"/>
      <c r="BM292" s="1636"/>
      <c r="BN292" s="570"/>
      <c r="BO292" s="570"/>
      <c r="BP292" s="570"/>
      <c r="BQ292" s="570"/>
      <c r="BR292" s="1645">
        <v>11</v>
      </c>
    </row>
    <row s="1645" customFormat="1" customHeight="1" ht="11.549999999999999">
      <c r="A293" s="991"/>
      <c r="B293" s="1640"/>
      <c r="C293" s="1640"/>
      <c r="D293" s="355"/>
      <c r="J293" s="1645"/>
      <c r="K293" s="1645"/>
      <c r="L293" s="1645"/>
      <c r="M293" s="1645"/>
      <c r="N293" s="1645"/>
      <c r="O293" s="1645"/>
      <c r="P293" s="1645"/>
      <c r="Q293" s="1645"/>
      <c r="R293" s="1645"/>
      <c r="S293" s="1645"/>
      <c r="T293" s="1645"/>
      <c r="U293" s="1645"/>
      <c r="V293" s="1645"/>
      <c r="W293" s="1645"/>
      <c r="X293" s="1645"/>
      <c r="Y293" s="1645"/>
      <c r="Z293" s="1645"/>
      <c r="AA293" s="1645"/>
      <c r="AB293" s="1645"/>
      <c r="AC293" s="1645"/>
      <c r="AD293" s="1645"/>
      <c r="AE293" s="1645"/>
      <c r="AF293" s="1645"/>
      <c r="AG293" s="1645"/>
      <c r="AH293" s="1645"/>
      <c r="AI293" s="1645"/>
      <c r="AJ293" s="1645"/>
      <c r="AK293" s="1645"/>
      <c r="AL293" s="1645"/>
      <c r="AM293" s="1645"/>
      <c r="AN293" s="1645"/>
      <c r="AO293" s="1645"/>
      <c r="AP293" s="1645"/>
      <c r="AQ293" s="1645"/>
      <c r="AR293" s="1645"/>
      <c r="AS293" s="1645"/>
      <c r="AT293" s="1645"/>
      <c r="AU293" s="1645"/>
      <c r="AW293" s="1164"/>
      <c r="AX293" s="1640"/>
      <c r="AY293" s="1640"/>
      <c r="AZ293" s="1164"/>
      <c r="BA293" s="1164"/>
      <c r="BB293" s="1164"/>
      <c r="BC293" s="1164"/>
      <c r="BD293" s="1640"/>
      <c r="BE293" s="1164"/>
      <c r="BF293" s="1164"/>
      <c r="BG293" s="548"/>
      <c r="BH293" s="1164"/>
      <c r="BI293" s="1164"/>
      <c r="BJ293" s="1164"/>
      <c r="BK293" s="1164"/>
      <c r="BL293" s="1164"/>
      <c r="BM293" s="1636"/>
      <c r="BN293" s="570"/>
      <c r="BO293" s="570"/>
      <c r="BP293" s="570"/>
      <c r="BQ293" s="570"/>
      <c r="BR293" s="1645">
        <v>11</v>
      </c>
    </row>
    <row s="1645" customFormat="1" customHeight="1" ht="11.549999999999999">
      <c r="A294" s="991"/>
      <c r="B294" s="1640"/>
      <c r="C294" s="1640"/>
      <c r="D294" s="355"/>
      <c r="J294" s="1645"/>
      <c r="K294" s="1645"/>
      <c r="L294" s="1645"/>
      <c r="M294" s="1645"/>
      <c r="N294" s="1645"/>
      <c r="O294" s="1645"/>
      <c r="P294" s="1645"/>
      <c r="Q294" s="1645"/>
      <c r="R294" s="1645"/>
      <c r="S294" s="1645"/>
      <c r="T294" s="1645"/>
      <c r="U294" s="1645"/>
      <c r="V294" s="1645"/>
      <c r="W294" s="1645"/>
      <c r="X294" s="1645"/>
      <c r="Y294" s="1645"/>
      <c r="Z294" s="1645"/>
      <c r="AA294" s="1645"/>
      <c r="AB294" s="1645"/>
      <c r="AC294" s="1645"/>
      <c r="AD294" s="1645"/>
      <c r="AE294" s="1645"/>
      <c r="AF294" s="1645"/>
      <c r="AG294" s="1645"/>
      <c r="AH294" s="1645"/>
      <c r="AI294" s="1645"/>
      <c r="AJ294" s="1645"/>
      <c r="AK294" s="1645"/>
      <c r="AL294" s="1645"/>
      <c r="AM294" s="1645"/>
      <c r="AN294" s="1645"/>
      <c r="AO294" s="1645"/>
      <c r="AP294" s="1645"/>
      <c r="AQ294" s="1645"/>
      <c r="AR294" s="1645"/>
      <c r="AS294" s="1645"/>
      <c r="AT294" s="1645"/>
      <c r="AU294" s="1645"/>
      <c r="AW294" s="1164"/>
      <c r="AX294" s="1640"/>
      <c r="AY294" s="1640"/>
      <c r="AZ294" s="1164"/>
      <c r="BA294" s="1164"/>
      <c r="BB294" s="1164"/>
      <c r="BC294" s="1164"/>
      <c r="BD294" s="1640"/>
      <c r="BE294" s="1164"/>
      <c r="BF294" s="1164"/>
      <c r="BG294" s="548"/>
      <c r="BH294" s="1164"/>
      <c r="BI294" s="1164"/>
      <c r="BJ294" s="1164"/>
      <c r="BK294" s="1164"/>
      <c r="BL294" s="1164"/>
      <c r="BM294" s="1636"/>
      <c r="BN294" s="570"/>
      <c r="BO294" s="570"/>
      <c r="BP294" s="570"/>
      <c r="BQ294" s="570"/>
      <c r="BR294" s="1645">
        <v>11</v>
      </c>
    </row>
    <row customHeight="1" ht="11.549999999999999">
      <c r="J295" s="1639"/>
      <c r="K295" s="1639"/>
      <c r="L295" s="1639"/>
      <c r="M295" s="1639"/>
      <c r="N295" s="1639"/>
      <c r="O295" s="1639"/>
      <c r="P295" s="1639"/>
      <c r="Q295" s="1639"/>
      <c r="R295" s="1639"/>
      <c r="S295" s="1639"/>
      <c r="T295" s="1639"/>
      <c r="U295" s="1639"/>
      <c r="V295" s="1639"/>
      <c r="W295" s="1639"/>
      <c r="X295" s="1639"/>
      <c r="Y295" s="1639"/>
      <c r="Z295" s="1639"/>
      <c r="AA295" s="1639"/>
      <c r="AB295" s="1639"/>
      <c r="AC295" s="1639"/>
      <c r="AD295" s="1639"/>
      <c r="AE295" s="1639"/>
      <c r="AF295" s="1639"/>
      <c r="AG295" s="1639"/>
      <c r="AH295" s="1639"/>
      <c r="AI295" s="1639"/>
      <c r="AJ295" s="1639"/>
      <c r="AK295" s="1639"/>
      <c r="AL295" s="1639"/>
      <c r="AM295" s="1639"/>
      <c r="AN295" s="1639"/>
      <c r="AO295" s="1639"/>
      <c r="AP295" s="1639"/>
      <c r="AQ295" s="1639"/>
      <c r="AR295" s="1639"/>
      <c r="AS295" s="1639"/>
      <c r="AT295" s="1639"/>
      <c r="AU295" s="1639"/>
      <c r="BR295" s="1635">
        <v>11</v>
      </c>
    </row>
    <row customHeight="1" ht="11.549999999999999">
      <c r="J296" s="1639"/>
      <c r="K296" s="1639"/>
      <c r="L296" s="1639"/>
      <c r="M296" s="1639"/>
      <c r="N296" s="1639"/>
      <c r="O296" s="1639"/>
      <c r="P296" s="1639"/>
      <c r="Q296" s="1639"/>
      <c r="R296" s="1639"/>
      <c r="S296" s="1639"/>
      <c r="T296" s="1639"/>
      <c r="U296" s="1639"/>
      <c r="V296" s="1639"/>
      <c r="W296" s="1639"/>
      <c r="X296" s="1639"/>
      <c r="Y296" s="1639"/>
      <c r="Z296" s="1639"/>
      <c r="AA296" s="1639"/>
      <c r="AB296" s="1639"/>
      <c r="AC296" s="1639"/>
      <c r="AD296" s="1639"/>
      <c r="AE296" s="1639"/>
      <c r="AF296" s="1639"/>
      <c r="AG296" s="1639"/>
      <c r="AH296" s="1639"/>
      <c r="AI296" s="1639"/>
      <c r="AJ296" s="1639"/>
      <c r="AK296" s="1639"/>
      <c r="AL296" s="1639"/>
      <c r="AM296" s="1639"/>
      <c r="AN296" s="1639"/>
      <c r="AO296" s="1639"/>
      <c r="AP296" s="1639"/>
      <c r="AQ296" s="1639"/>
      <c r="AR296" s="1639"/>
      <c r="AS296" s="1639"/>
      <c r="AT296" s="1639"/>
      <c r="AU296" s="1639"/>
      <c r="BR296" s="1635">
        <v>11</v>
      </c>
    </row>
    <row customHeight="1" ht="11.549999999999999">
      <c r="J297" s="1639"/>
      <c r="K297" s="1639"/>
      <c r="L297" s="1639"/>
      <c r="M297" s="1639"/>
      <c r="N297" s="1639"/>
      <c r="O297" s="1639"/>
      <c r="P297" s="1639"/>
      <c r="Q297" s="1639"/>
      <c r="R297" s="1639"/>
      <c r="S297" s="1639"/>
      <c r="T297" s="1639"/>
      <c r="U297" s="1639"/>
      <c r="V297" s="1639"/>
      <c r="W297" s="1639"/>
      <c r="X297" s="1639"/>
      <c r="Y297" s="1639"/>
      <c r="Z297" s="1639"/>
      <c r="AA297" s="1639"/>
      <c r="AB297" s="1639"/>
      <c r="AC297" s="1639"/>
      <c r="AD297" s="1639"/>
      <c r="AE297" s="1639"/>
      <c r="AF297" s="1639"/>
      <c r="AG297" s="1639"/>
      <c r="AH297" s="1639"/>
      <c r="AI297" s="1639"/>
      <c r="AJ297" s="1639"/>
      <c r="AK297" s="1639"/>
      <c r="AL297" s="1639"/>
      <c r="AM297" s="1639"/>
      <c r="AN297" s="1639"/>
      <c r="AO297" s="1639"/>
      <c r="AP297" s="1639"/>
      <c r="AQ297" s="1639"/>
      <c r="AR297" s="1639"/>
      <c r="AS297" s="1639"/>
      <c r="AT297" s="1639"/>
      <c r="AU297" s="1639"/>
      <c r="BR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X298" s="1639"/>
      <c r="Y298" s="1639"/>
      <c r="Z298" s="1639"/>
      <c r="AA298" s="1639"/>
      <c r="AB298" s="1639"/>
      <c r="AC298" s="1639"/>
      <c r="AD298" s="1639"/>
      <c r="AE298" s="1639"/>
      <c r="AF298" s="1639"/>
      <c r="AG298" s="1639"/>
      <c r="AH298" s="1639"/>
      <c r="AI298" s="1639"/>
      <c r="AJ298" s="1639"/>
      <c r="AK298" s="1639"/>
      <c r="AL298" s="1639"/>
      <c r="AM298" s="1639"/>
      <c r="AN298" s="1639"/>
      <c r="AO298" s="1639"/>
      <c r="AP298" s="1639"/>
      <c r="AQ298" s="1639"/>
      <c r="AR298" s="1639"/>
      <c r="AS298" s="1639"/>
      <c r="AT298" s="1639"/>
      <c r="AU298" s="1639"/>
      <c r="AW298" s="1635"/>
      <c r="AZ298" s="1635"/>
      <c r="BA298" s="1635"/>
      <c r="BB298" s="1635"/>
      <c r="BC298" s="1635"/>
      <c r="BE298" s="1635"/>
      <c r="BF298" s="1635"/>
      <c r="BG298" s="1635"/>
      <c r="BH298" s="1635"/>
      <c r="BI298" s="1635"/>
      <c r="BJ298" s="1635"/>
      <c r="BK298" s="1635"/>
      <c r="BL298" s="1635"/>
      <c r="BM298" s="1635"/>
      <c r="BN298" s="1635"/>
      <c r="BO298" s="1635"/>
      <c r="BP298" s="1635"/>
      <c r="BQ298" s="1635"/>
      <c r="BR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X299" s="1639"/>
      <c r="Y299" s="1639"/>
      <c r="Z299" s="1639"/>
      <c r="AA299" s="1639"/>
      <c r="AB299" s="1639"/>
      <c r="AC299" s="1639"/>
      <c r="AD299" s="1639"/>
      <c r="AE299" s="1639"/>
      <c r="AF299" s="1639"/>
      <c r="AG299" s="1639"/>
      <c r="AH299" s="1639"/>
      <c r="AI299" s="1639"/>
      <c r="AJ299" s="1639"/>
      <c r="AK299" s="1639"/>
      <c r="AL299" s="1639"/>
      <c r="AM299" s="1639"/>
      <c r="AN299" s="1639"/>
      <c r="AO299" s="1639"/>
      <c r="AP299" s="1639"/>
      <c r="AQ299" s="1639"/>
      <c r="AR299" s="1639"/>
      <c r="AS299" s="1639"/>
      <c r="AT299" s="1639"/>
      <c r="AU299" s="1639"/>
      <c r="AW299" s="1635"/>
      <c r="AZ299" s="1635"/>
      <c r="BA299" s="1635"/>
      <c r="BB299" s="1635"/>
      <c r="BC299" s="1635"/>
      <c r="BE299" s="1635"/>
      <c r="BF299" s="1635"/>
      <c r="BG299" s="1635"/>
      <c r="BH299" s="1635"/>
      <c r="BI299" s="1635"/>
      <c r="BJ299" s="1635"/>
      <c r="BK299" s="1635"/>
      <c r="BL299" s="1635"/>
      <c r="BM299" s="1635"/>
      <c r="BN299" s="1635"/>
      <c r="BO299" s="1635"/>
      <c r="BP299" s="1635"/>
      <c r="BQ299" s="1635"/>
      <c r="BR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X300" s="1639"/>
      <c r="Y300" s="1639"/>
      <c r="Z300" s="1639"/>
      <c r="AA300" s="1639"/>
      <c r="AB300" s="1639"/>
      <c r="AC300" s="1639"/>
      <c r="AD300" s="1639"/>
      <c r="AE300" s="1639"/>
      <c r="AF300" s="1639"/>
      <c r="AG300" s="1639"/>
      <c r="AH300" s="1639"/>
      <c r="AI300" s="1639"/>
      <c r="AJ300" s="1639"/>
      <c r="AK300" s="1639"/>
      <c r="AL300" s="1639"/>
      <c r="AM300" s="1639"/>
      <c r="AN300" s="1639"/>
      <c r="AO300" s="1639"/>
      <c r="AP300" s="1639"/>
      <c r="AQ300" s="1639"/>
      <c r="AR300" s="1639"/>
      <c r="AS300" s="1639"/>
      <c r="AT300" s="1639"/>
      <c r="AU300" s="1639"/>
      <c r="AW300" s="1635"/>
      <c r="AZ300" s="1635"/>
      <c r="BA300" s="1635"/>
      <c r="BB300" s="1635"/>
      <c r="BC300" s="1635"/>
      <c r="BE300" s="1635"/>
      <c r="BF300" s="1635"/>
      <c r="BG300" s="1635"/>
      <c r="BH300" s="1635"/>
      <c r="BI300" s="1635"/>
      <c r="BJ300" s="1635"/>
      <c r="BK300" s="1635"/>
      <c r="BL300" s="1635"/>
      <c r="BM300" s="1635"/>
      <c r="BN300" s="1635"/>
      <c r="BO300" s="1635"/>
      <c r="BP300" s="1635"/>
      <c r="BQ300" s="1635"/>
      <c r="BR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M301" s="1639"/>
      <c r="AN301" s="1639"/>
      <c r="AO301" s="1639"/>
      <c r="AP301" s="1639"/>
      <c r="AQ301" s="1639"/>
      <c r="AR301" s="1639"/>
      <c r="AS301" s="1639"/>
      <c r="AT301" s="1639"/>
      <c r="AU301" s="1639"/>
      <c r="AW301" s="1635"/>
      <c r="AZ301" s="1635"/>
      <c r="BA301" s="1635"/>
      <c r="BB301" s="1635"/>
      <c r="BC301" s="1635"/>
      <c r="BE301" s="1635"/>
      <c r="BF301" s="1635"/>
      <c r="BG301" s="1635"/>
      <c r="BH301" s="1635"/>
      <c r="BI301" s="1635"/>
      <c r="BJ301" s="1635"/>
      <c r="BK301" s="1635"/>
      <c r="BL301" s="1635"/>
      <c r="BM301" s="1635"/>
      <c r="BN301" s="1635"/>
      <c r="BO301" s="1635"/>
      <c r="BP301" s="1635"/>
      <c r="BQ301" s="1635"/>
      <c r="BR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X302" s="1639"/>
      <c r="Y302" s="1639"/>
      <c r="Z302" s="1639"/>
      <c r="AA302" s="1639"/>
      <c r="AB302" s="1639"/>
      <c r="AC302" s="1639"/>
      <c r="AD302" s="1639"/>
      <c r="AE302" s="1639"/>
      <c r="AF302" s="1639"/>
      <c r="AG302" s="1639"/>
      <c r="AH302" s="1639"/>
      <c r="AI302" s="1639"/>
      <c r="AJ302" s="1639"/>
      <c r="AK302" s="1639"/>
      <c r="AL302" s="1639"/>
      <c r="AM302" s="1639"/>
      <c r="AN302" s="1639"/>
      <c r="AO302" s="1639"/>
      <c r="AP302" s="1639"/>
      <c r="AQ302" s="1639"/>
      <c r="AR302" s="1639"/>
      <c r="AS302" s="1639"/>
      <c r="AT302" s="1639"/>
      <c r="AU302" s="1639"/>
      <c r="AW302" s="1635"/>
      <c r="AZ302" s="1635"/>
      <c r="BA302" s="1635"/>
      <c r="BB302" s="1635"/>
      <c r="BC302" s="1635"/>
      <c r="BE302" s="1635"/>
      <c r="BF302" s="1635"/>
      <c r="BG302" s="1635"/>
      <c r="BH302" s="1635"/>
      <c r="BI302" s="1635"/>
      <c r="BJ302" s="1635"/>
      <c r="BK302" s="1635"/>
      <c r="BL302" s="1635"/>
      <c r="BM302" s="1635"/>
      <c r="BN302" s="1635"/>
      <c r="BO302" s="1635"/>
      <c r="BP302" s="1635"/>
      <c r="BQ302" s="1635"/>
      <c r="BR302" s="1635">
        <v>11</v>
      </c>
    </row>
    <row customHeight="1" ht="11.549999999999999">
      <c r="A303" s="994"/>
      <c r="B303" s="1635"/>
      <c r="D303" s="1635"/>
      <c r="J303" s="1639"/>
      <c r="K303" s="1639"/>
      <c r="L303" s="1639"/>
      <c r="M303" s="1639"/>
      <c r="N303" s="1639"/>
      <c r="O303" s="1639"/>
      <c r="P303" s="1639"/>
      <c r="Q303" s="1639"/>
      <c r="R303" s="1639"/>
      <c r="S303" s="1639"/>
      <c r="T303" s="1639"/>
      <c r="U303" s="1639"/>
      <c r="V303" s="1639"/>
      <c r="W303" s="1639"/>
      <c r="X303" s="1639"/>
      <c r="Y303" s="1639"/>
      <c r="Z303" s="1639"/>
      <c r="AA303" s="1639"/>
      <c r="AB303" s="1639"/>
      <c r="AC303" s="1639"/>
      <c r="AD303" s="1639"/>
      <c r="AE303" s="1639"/>
      <c r="AF303" s="1639"/>
      <c r="AG303" s="1639"/>
      <c r="AH303" s="1639"/>
      <c r="AI303" s="1639"/>
      <c r="AJ303" s="1639"/>
      <c r="AK303" s="1639"/>
      <c r="AL303" s="1639"/>
      <c r="AM303" s="1639"/>
      <c r="AN303" s="1639"/>
      <c r="AO303" s="1639"/>
      <c r="AP303" s="1639"/>
      <c r="AQ303" s="1639"/>
      <c r="AR303" s="1639"/>
      <c r="AS303" s="1639"/>
      <c r="AT303" s="1639"/>
      <c r="AU303" s="1639"/>
      <c r="AW303" s="1635"/>
      <c r="AZ303" s="1635"/>
      <c r="BA303" s="1635"/>
      <c r="BB303" s="1635"/>
      <c r="BC303" s="1635"/>
      <c r="BE303" s="1635"/>
      <c r="BF303" s="1635"/>
      <c r="BG303" s="1635"/>
      <c r="BH303" s="1635"/>
      <c r="BI303" s="1635"/>
      <c r="BJ303" s="1635"/>
      <c r="BK303" s="1635"/>
      <c r="BL303" s="1635"/>
      <c r="BM303" s="1635"/>
      <c r="BN303" s="1635"/>
      <c r="BO303" s="1635"/>
      <c r="BP303" s="1635"/>
      <c r="BQ303" s="1635"/>
      <c r="BR303" s="1635">
        <v>11</v>
      </c>
    </row>
    <row customHeight="1" ht="11.549999999999999">
      <c r="A304" s="994"/>
      <c r="B304" s="1635"/>
      <c r="D304" s="1635"/>
      <c r="J304" s="1639"/>
      <c r="K304" s="1639"/>
      <c r="L304" s="1639"/>
      <c r="M304" s="1639"/>
      <c r="N304" s="1639"/>
      <c r="O304" s="1639"/>
      <c r="P304" s="1639"/>
      <c r="Q304" s="1639"/>
      <c r="R304" s="1639"/>
      <c r="S304" s="1639"/>
      <c r="T304" s="1639"/>
      <c r="U304" s="1639"/>
      <c r="V304" s="1639"/>
      <c r="W304" s="1639"/>
      <c r="X304" s="1639"/>
      <c r="Y304" s="1639"/>
      <c r="Z304" s="1639"/>
      <c r="AA304" s="1639"/>
      <c r="AB304" s="1639"/>
      <c r="AC304" s="1639"/>
      <c r="AD304" s="1639"/>
      <c r="AE304" s="1639"/>
      <c r="AF304" s="1639"/>
      <c r="AG304" s="1639"/>
      <c r="AH304" s="1639"/>
      <c r="AI304" s="1639"/>
      <c r="AJ304" s="1639"/>
      <c r="AK304" s="1639"/>
      <c r="AL304" s="1639"/>
      <c r="AM304" s="1639"/>
      <c r="AN304" s="1639"/>
      <c r="AO304" s="1639"/>
      <c r="AP304" s="1639"/>
      <c r="AQ304" s="1639"/>
      <c r="AR304" s="1639"/>
      <c r="AS304" s="1639"/>
      <c r="AT304" s="1639"/>
      <c r="AU304" s="1639"/>
      <c r="AW304" s="1635"/>
      <c r="AZ304" s="1635"/>
      <c r="BA304" s="1635"/>
      <c r="BB304" s="1635"/>
      <c r="BC304" s="1635"/>
      <c r="BE304" s="1635"/>
      <c r="BF304" s="1635"/>
      <c r="BG304" s="1635"/>
      <c r="BH304" s="1635"/>
      <c r="BI304" s="1635"/>
      <c r="BJ304" s="1635"/>
      <c r="BK304" s="1635"/>
      <c r="BL304" s="1635"/>
      <c r="BM304" s="1635"/>
      <c r="BN304" s="1635"/>
      <c r="BO304" s="1635"/>
      <c r="BP304" s="1635"/>
      <c r="BQ304" s="1635"/>
      <c r="BR304" s="1635">
        <v>11</v>
      </c>
    </row>
    <row customHeight="1" ht="11.549999999999999">
      <c r="A305" s="994"/>
      <c r="B305" s="1635"/>
      <c r="D305" s="1635"/>
      <c r="J305" s="1639"/>
      <c r="K305" s="1639"/>
      <c r="L305" s="1639"/>
      <c r="M305" s="1639"/>
      <c r="N305" s="1639"/>
      <c r="O305" s="1639"/>
      <c r="P305" s="1639"/>
      <c r="Q305" s="1639"/>
      <c r="R305" s="1639"/>
      <c r="S305" s="1639"/>
      <c r="T305" s="1639"/>
      <c r="U305" s="1639"/>
      <c r="V305" s="1639"/>
      <c r="W305" s="1639"/>
      <c r="X305" s="1639"/>
      <c r="Y305" s="1639"/>
      <c r="Z305" s="1639"/>
      <c r="AA305" s="1639"/>
      <c r="AB305" s="1639"/>
      <c r="AC305" s="1639"/>
      <c r="AD305" s="1639"/>
      <c r="AE305" s="1639"/>
      <c r="AF305" s="1639"/>
      <c r="AG305" s="1639"/>
      <c r="AH305" s="1639"/>
      <c r="AI305" s="1639"/>
      <c r="AJ305" s="1639"/>
      <c r="AK305" s="1639"/>
      <c r="AL305" s="1639"/>
      <c r="AM305" s="1639"/>
      <c r="AN305" s="1639"/>
      <c r="AO305" s="1639"/>
      <c r="AP305" s="1639"/>
      <c r="AQ305" s="1639"/>
      <c r="AR305" s="1639"/>
      <c r="AS305" s="1639"/>
      <c r="AT305" s="1639"/>
      <c r="AU305" s="1639"/>
      <c r="AW305" s="1635"/>
      <c r="AZ305" s="1635"/>
      <c r="BA305" s="1635"/>
      <c r="BB305" s="1635"/>
      <c r="BC305" s="1635"/>
      <c r="BE305" s="1635"/>
      <c r="BF305" s="1635"/>
      <c r="BG305" s="1635"/>
      <c r="BH305" s="1635"/>
      <c r="BI305" s="1635"/>
      <c r="BJ305" s="1635"/>
      <c r="BK305" s="1635"/>
      <c r="BL305" s="1635"/>
      <c r="BM305" s="1635"/>
      <c r="BN305" s="1635"/>
      <c r="BO305" s="1635"/>
      <c r="BP305" s="1635"/>
      <c r="BQ305" s="1635"/>
      <c r="BR305" s="1635">
        <v>11</v>
      </c>
    </row>
    <row customHeight="1" ht="11.549999999999999">
      <c r="A306" s="994"/>
      <c r="B306" s="1635"/>
      <c r="D306" s="1635"/>
      <c r="J306" s="1639"/>
      <c r="K306" s="1639"/>
      <c r="L306" s="1639"/>
      <c r="M306" s="1639"/>
      <c r="N306" s="1639"/>
      <c r="O306" s="1639"/>
      <c r="P306" s="1639"/>
      <c r="Q306" s="1639"/>
      <c r="R306" s="1639"/>
      <c r="S306" s="1639"/>
      <c r="T306" s="1639"/>
      <c r="U306" s="1639"/>
      <c r="V306" s="1639"/>
      <c r="W306" s="1639"/>
      <c r="X306" s="1639"/>
      <c r="Y306" s="1639"/>
      <c r="Z306" s="1639"/>
      <c r="AA306" s="1639"/>
      <c r="AB306" s="1639"/>
      <c r="AC306" s="1639"/>
      <c r="AD306" s="1639"/>
      <c r="AE306" s="1639"/>
      <c r="AF306" s="1639"/>
      <c r="AG306" s="1639"/>
      <c r="AH306" s="1639"/>
      <c r="AI306" s="1639"/>
      <c r="AJ306" s="1639"/>
      <c r="AK306" s="1639"/>
      <c r="AL306" s="1639"/>
      <c r="AM306" s="1639"/>
      <c r="AN306" s="1639"/>
      <c r="AO306" s="1639"/>
      <c r="AP306" s="1639"/>
      <c r="AQ306" s="1639"/>
      <c r="AR306" s="1639"/>
      <c r="AS306" s="1639"/>
      <c r="AT306" s="1639"/>
      <c r="AU306" s="1639"/>
      <c r="AW306" s="1635"/>
      <c r="AZ306" s="1635"/>
      <c r="BA306" s="1635"/>
      <c r="BB306" s="1635"/>
      <c r="BC306" s="1635"/>
      <c r="BE306" s="1635"/>
      <c r="BF306" s="1635"/>
      <c r="BG306" s="1635"/>
      <c r="BH306" s="1635"/>
      <c r="BI306" s="1635"/>
      <c r="BJ306" s="1635"/>
      <c r="BK306" s="1635"/>
      <c r="BL306" s="1635"/>
      <c r="BM306" s="1635"/>
      <c r="BN306" s="1635"/>
      <c r="BO306" s="1635"/>
      <c r="BP306" s="1635"/>
      <c r="BQ306" s="1635"/>
      <c r="BR306" s="1635">
        <v>11</v>
      </c>
    </row>
    <row customHeight="1" ht="11.549999999999999">
      <c r="A307" s="994"/>
      <c r="B307" s="1635"/>
      <c r="D307" s="1635"/>
      <c r="J307" s="1639"/>
      <c r="K307" s="1639"/>
      <c r="L307" s="1639"/>
      <c r="M307" s="1639"/>
      <c r="N307" s="1639"/>
      <c r="O307" s="1639"/>
      <c r="P307" s="1639"/>
      <c r="Q307" s="1639"/>
      <c r="R307" s="1639"/>
      <c r="S307" s="1639"/>
      <c r="T307" s="1639"/>
      <c r="U307" s="1639"/>
      <c r="V307" s="1639"/>
      <c r="W307" s="1639"/>
      <c r="X307" s="1639"/>
      <c r="Y307" s="1639"/>
      <c r="Z307" s="1639"/>
      <c r="AA307" s="1639"/>
      <c r="AB307" s="1639"/>
      <c r="AC307" s="1639"/>
      <c r="AD307" s="1639"/>
      <c r="AE307" s="1639"/>
      <c r="AF307" s="1639"/>
      <c r="AG307" s="1639"/>
      <c r="AH307" s="1639"/>
      <c r="AI307" s="1639"/>
      <c r="AJ307" s="1639"/>
      <c r="AK307" s="1639"/>
      <c r="AL307" s="1639"/>
      <c r="AM307" s="1639"/>
      <c r="AN307" s="1639"/>
      <c r="AO307" s="1639"/>
      <c r="AP307" s="1639"/>
      <c r="AQ307" s="1639"/>
      <c r="AR307" s="1639"/>
      <c r="AS307" s="1639"/>
      <c r="AT307" s="1639"/>
      <c r="AU307" s="1639"/>
      <c r="AW307" s="1635"/>
      <c r="AZ307" s="1635"/>
      <c r="BA307" s="1635"/>
      <c r="BB307" s="1635"/>
      <c r="BC307" s="1635"/>
      <c r="BE307" s="1635"/>
      <c r="BF307" s="1635"/>
      <c r="BG307" s="1635"/>
      <c r="BH307" s="1635"/>
      <c r="BI307" s="1635"/>
      <c r="BJ307" s="1635"/>
      <c r="BK307" s="1635"/>
      <c r="BL307" s="1635"/>
      <c r="BM307" s="1635"/>
      <c r="BN307" s="1635"/>
      <c r="BO307" s="1635"/>
      <c r="BP307" s="1635"/>
      <c r="BQ307" s="1635"/>
      <c r="BR307" s="1635">
        <v>11</v>
      </c>
    </row>
    <row customHeight="1" ht="11.549999999999999">
      <c r="A308" s="994"/>
      <c r="B308" s="1635"/>
      <c r="D308" s="1635"/>
      <c r="J308" s="1639"/>
      <c r="K308" s="1639"/>
      <c r="L308" s="1639"/>
      <c r="M308" s="1639"/>
      <c r="N308" s="1639"/>
      <c r="O308" s="1639"/>
      <c r="P308" s="1639"/>
      <c r="Q308" s="1639"/>
      <c r="R308" s="1639"/>
      <c r="S308" s="1639"/>
      <c r="T308" s="1639"/>
      <c r="U308" s="1639"/>
      <c r="V308" s="1639"/>
      <c r="W308" s="1639"/>
      <c r="X308" s="1639"/>
      <c r="Y308" s="1639"/>
      <c r="Z308" s="1639"/>
      <c r="AA308" s="1639"/>
      <c r="AB308" s="1639"/>
      <c r="AC308" s="1639"/>
      <c r="AD308" s="1639"/>
      <c r="AE308" s="1639"/>
      <c r="AF308" s="1639"/>
      <c r="AG308" s="1639"/>
      <c r="AH308" s="1639"/>
      <c r="AI308" s="1639"/>
      <c r="AJ308" s="1639"/>
      <c r="AK308" s="1639"/>
      <c r="AL308" s="1639"/>
      <c r="AM308" s="1639"/>
      <c r="AN308" s="1639"/>
      <c r="AO308" s="1639"/>
      <c r="AP308" s="1639"/>
      <c r="AQ308" s="1639"/>
      <c r="AR308" s="1639"/>
      <c r="AS308" s="1639"/>
      <c r="AT308" s="1639"/>
      <c r="AU308" s="1639"/>
      <c r="AW308" s="1635"/>
      <c r="AZ308" s="1635"/>
      <c r="BA308" s="1635"/>
      <c r="BB308" s="1635"/>
      <c r="BC308" s="1635"/>
      <c r="BE308" s="1635"/>
      <c r="BF308" s="1635"/>
      <c r="BG308" s="1635"/>
      <c r="BH308" s="1635"/>
      <c r="BI308" s="1635"/>
      <c r="BJ308" s="1635"/>
      <c r="BK308" s="1635"/>
      <c r="BL308" s="1635"/>
      <c r="BM308" s="1635"/>
      <c r="BN308" s="1635"/>
      <c r="BO308" s="1635"/>
      <c r="BP308" s="1635"/>
      <c r="BQ308" s="1635"/>
      <c r="BR308" s="1635">
        <v>11</v>
      </c>
    </row>
    <row customHeight="1" ht="11.25" hidden="1">
      <c r="A309" s="991" t="s">
        <v>81</v>
      </c>
      <c r="B309" s="1164">
        <v>0</v>
      </c>
      <c r="C309" s="1640">
        <v>0</v>
      </c>
      <c r="D309" s="1639">
        <v>3</v>
      </c>
      <c r="E309" s="1635">
        <v>7</v>
      </c>
      <c r="F309" s="1635">
        <v>54</v>
      </c>
      <c r="G309" s="1635">
        <v>10</v>
      </c>
      <c r="H309" s="1635">
        <v>0</v>
      </c>
      <c r="I309" s="1635">
        <v>40</v>
      </c>
      <c r="J309" s="1639">
        <v>0</v>
      </c>
      <c r="K309" s="1639">
        <v>0</v>
      </c>
      <c r="L309" s="1639">
        <v>0</v>
      </c>
      <c r="M309" s="1639">
        <v>0</v>
      </c>
      <c r="N309" s="1639">
        <v>0</v>
      </c>
      <c r="O309" s="1639">
        <v>0</v>
      </c>
      <c r="P309" s="1639">
        <v>0</v>
      </c>
      <c r="Q309" s="1639">
        <v>0</v>
      </c>
      <c r="R309" s="1639">
        <v>0</v>
      </c>
      <c r="S309" s="1639">
        <v>0</v>
      </c>
      <c r="T309" s="1639">
        <v>0</v>
      </c>
      <c r="U309" s="1639">
        <v>0</v>
      </c>
      <c r="V309" s="1639">
        <v>0</v>
      </c>
      <c r="W309" s="1639">
        <v>0</v>
      </c>
      <c r="X309" s="1639">
        <v>0</v>
      </c>
      <c r="Y309" s="1639">
        <v>0</v>
      </c>
      <c r="Z309" s="1639">
        <v>0</v>
      </c>
      <c r="AA309" s="1639">
        <v>0</v>
      </c>
      <c r="AB309" s="1639">
        <v>0</v>
      </c>
      <c r="AC309" s="1639">
        <v>0</v>
      </c>
      <c r="AD309" s="1639">
        <v>0</v>
      </c>
      <c r="AE309" s="1639">
        <v>0</v>
      </c>
      <c r="AF309" s="1639">
        <v>0</v>
      </c>
      <c r="AG309" s="1639">
        <v>0</v>
      </c>
      <c r="AH309" s="1639">
        <v>0</v>
      </c>
      <c r="AI309" s="1639">
        <v>0</v>
      </c>
      <c r="AJ309" s="1639">
        <v>0</v>
      </c>
      <c r="AK309" s="1639">
        <v>0</v>
      </c>
      <c r="AL309" s="1639">
        <v>0</v>
      </c>
      <c r="AM309" s="1639">
        <v>0</v>
      </c>
      <c r="AN309" s="1639">
        <v>0</v>
      </c>
      <c r="AO309" s="1639">
        <v>0</v>
      </c>
      <c r="AP309" s="1639">
        <v>0</v>
      </c>
      <c r="AQ309" s="1639">
        <v>0</v>
      </c>
      <c r="AR309" s="1639">
        <v>0</v>
      </c>
      <c r="AS309" s="1639">
        <v>0</v>
      </c>
      <c r="AT309" s="1639">
        <v>0</v>
      </c>
      <c r="AU309" s="1639">
        <v>0</v>
      </c>
      <c r="AV309" s="1635">
        <v>102</v>
      </c>
      <c r="AW309" s="1164">
        <v>9</v>
      </c>
      <c r="AX309" s="1640">
        <v>5</v>
      </c>
      <c r="AY309" s="1640">
        <v>3</v>
      </c>
      <c r="AZ309" s="1164">
        <v>3</v>
      </c>
      <c r="BA309" s="1164">
        <v>3</v>
      </c>
      <c r="BB309" s="1164">
        <v>3</v>
      </c>
      <c r="BC309" s="1164">
        <v>3</v>
      </c>
      <c r="BD309" s="1640">
        <v>10</v>
      </c>
      <c r="BE309" s="1164">
        <v>34</v>
      </c>
      <c r="BF309" s="1164">
        <v>9</v>
      </c>
      <c r="BG309" s="548">
        <v>8</v>
      </c>
      <c r="BH309" s="1164">
        <v>8</v>
      </c>
      <c r="BI309" s="1164">
        <v>8</v>
      </c>
      <c r="BJ309" s="1164">
        <v>8</v>
      </c>
      <c r="BK309" s="1164">
        <v>8</v>
      </c>
      <c r="BL309" s="1164">
        <v>8</v>
      </c>
      <c r="BM309" s="1636">
        <v>8</v>
      </c>
      <c r="BN309" s="1636">
        <v>8</v>
      </c>
      <c r="BO309" s="1636">
        <v>8</v>
      </c>
      <c r="BP309" s="1636">
        <v>8</v>
      </c>
      <c r="BQ309" s="1636">
        <v>8</v>
      </c>
      <c r="BR309" s="1635">
        <v>11</v>
      </c>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8:A96"/>
    <mergeCell ref="A97:A101"/>
    <mergeCell ref="A102:A104"/>
    <mergeCell ref="A105:A117"/>
    <mergeCell ref="A121:A125"/>
    <mergeCell ref="B2:B7"/>
    <mergeCell ref="AV25:AV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U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AU70 AT70 AS70 AR70 AQ70 AP70 AO70 AN70 AM70 AL70 AK70 AJ70 AI70 AH70 AG70 AF70 AE70 AD70 AC70 AB70 AA70 Z70 Y70 X70 W70 V70 U70 T70 S70 R70 Q70 P70 O70 N70 M70 L70 K70 J70 I70 H70">
      <formula1>900</formula1>
    </dataValidation>
    <dataValidation type="textLength" operator="lessThanOrEqual" allowBlank="1" showInputMessage="1" showErrorMessage="1" errorTitle="Ошибка" error="Допускается ввод не более 900 символов!" sqref="G4 H34:AU34 H39:AU39">
      <formula1>900</formula1>
    </dataValidation>
    <dataValidation type="decimal" allowBlank="1" showErrorMessage="1" errorTitle="Ошибка" error="Допускается ввод только неотрицательных чисел!" sqref="H67:AU67 H69:AU69 H97:AU100 H133:AU133 H30:AU30 H32:AU33 H35:AU38 H40:AU65 H88:AU92 H17:AU17 H9:AU13 H15:AU15 H4:AU6 H80:AU80 H94:AU95 H102:AU109 H111:AU125 H71:H76 I71:I76 J71:J76 K71:K76 L71:L76 M71:M76 N71:N76 O71:O76 P71:P76 Q71:Q76 R71:R76 S71:S76 T71:T76 U71:U76 V71:V76 W71:W76 X71:X76 Y71:Y76 Z71:Z76 AA71:AA76 AB71:AB76 AC71:AC76 AD71:AD76 AE71:AE76 AF71:AF76 AG71:AG76 AH71:AH76 AI71:AI76 AJ71:AJ76 AK71:AK76 AL71:AL76 AM71:AM76 AN71:AN76 AO71:AO76 AP71:AP76 AQ71:AQ76 AR71:AR76 AS71:AS76 AT71:AT76 AU71:AU7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AU136 H87:AU87">
      <formula1>900</formula1>
    </dataValidation>
    <dataValidation type="decimal" allowBlank="1" showErrorMessage="1" errorTitle="Ошибка" error="Допускается ввод только действительных чисел!" sqref="H78:AU79">
      <formula1>-9.99999999999999E+23</formula1>
      <formula2>9.99999999999999E+23</formula2>
    </dataValidation>
    <dataValidation type="decimal" allowBlank="1" showErrorMessage="1" errorTitle="Ошибка" error="Допускается ввод только действительных чисел!" sqref="H129:AU129 H126:AU126 H132:AU132 H81:AU86 H110:AU110">
      <formula1>-9.99999999999999E+37</formula1>
      <formula2>9.99999999999999E+37</formula2>
    </dataValidation>
    <dataValidation type="decimal" allowBlank="1" showErrorMessage="1" errorTitle="Ошибка" error="Введите значение от 0 до 100%" sqref="H96:AU96 H101:AU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U68 H66:AU66"/>
  </dataValidations>
  <hyperlinks>
    <hyperlink ref="I87" r:id="rId1" xr:uid="{E11146D8-B7FC-70E3-1FD8-3F4331553898}"/>
    <hyperlink ref="J87" r:id="rId2" xr:uid="{5065D11D-C067-43C5-7B48-E6F13D95CE68}"/>
    <hyperlink ref="K87" r:id="rId3" xr:uid="{AEDD1918-F736-EB78-46F8-D4BA582B4F48}"/>
    <hyperlink ref="L87" r:id="rId4" xr:uid="{B594CEC8-E718-06A8-B6D8-EBF5C966B4D8}"/>
    <hyperlink ref="M87" r:id="rId5" xr:uid="{F1CB0A96-8C71-D468-5988-B3DF4FDD16E8}"/>
    <hyperlink ref="N87" r:id="rId6" xr:uid="{6569B4F8-F248-B682-6458-F398DE343449}"/>
    <hyperlink ref="O87" r:id="rId7" xr:uid="{90789068-31A3-45E7-33A8-0FEBBDA05818}"/>
    <hyperlink ref="P87" r:id="rId8" xr:uid="{8D72597B-3688-6A88-9038-FAA24089DB56}"/>
    <hyperlink ref="Q87" r:id="rId9" xr:uid="{569F2512-FD1A-5AB6-0FB8-77DCD3499318}"/>
    <hyperlink ref="R87" r:id="rId10" xr:uid="{22C4ACCC-8C54-3CD9-7D25-3E5234767846}"/>
    <hyperlink ref="S87" r:id="rId11" xr:uid="{9197622C-5BFB-38DA-6448-1E05447CDA78}"/>
    <hyperlink ref="T87" r:id="rId12" xr:uid="{4C925877-1508-DCA8-E6B8-50BF9A2FCA14}"/>
    <hyperlink ref="U87" r:id="rId13" xr:uid="{81D0A778-422C-0CF9-C3B7-824A8FCB156C}"/>
    <hyperlink ref="V87" r:id="rId14" xr:uid="{BD7A4368-9941-4DF8-9B28-874A99EAFA1C}"/>
    <hyperlink ref="W87" r:id="rId15" xr:uid="{0EE38672-4D48-5247-EC8C-4999E1567358}"/>
    <hyperlink ref="X87" r:id="rId16" xr:uid="{10976552-F3D1-E5A8-6A78-B3F8DFCC268F}"/>
    <hyperlink ref="Y87" r:id="rId17" xr:uid="{2A6A5688-43B8-FF18-BE98-02037FEF05C8}"/>
    <hyperlink ref="Z87" r:id="rId18" xr:uid="{E2A6A3E4-CA38-3278-9378-4B3409A04018}"/>
    <hyperlink ref="AA87" r:id="rId19" xr:uid="{80EF64D5-075D-CA48-D6D8-8DA0190AB5E7}"/>
    <hyperlink ref="AB87" r:id="rId20" xr:uid="{A0B676B8-4E28-3F67-CE38-2B8354552D4A}"/>
    <hyperlink ref="AC87" r:id="rId21" xr:uid="{7415DBD8-64E1-1D38-1DE8-AF43E51B82B8}"/>
    <hyperlink ref="AD87" r:id="rId22" xr:uid="{5896BD78-11B8-EABF-8BF8-DE4883CA8537}"/>
    <hyperlink ref="AE87" r:id="rId23" xr:uid="{79C2E88F-9508-0688-BB9D-74B1AF5FCB49}"/>
    <hyperlink ref="AF87" r:id="rId24" xr:uid="{E5E3A678-5316-7E28-5283-155D61B09218}"/>
    <hyperlink ref="AG87" r:id="rId25" xr:uid="{C2D13F22-59DD-4FCE-AC15-F3B1881C8788}"/>
    <hyperlink ref="AH87" r:id="rId26" xr:uid="{F3D8C868-E958-BD4D-F358-CC8431790368}"/>
    <hyperlink ref="AI87" r:id="rId27" xr:uid="{8F32A4C8-A7A8-5DF8-561C-341535BDAFA5}"/>
    <hyperlink ref="AJ87" r:id="rId28" xr:uid="{50141423-F9E8-06A8-7658-C280384BE731}"/>
    <hyperlink ref="AK87" r:id="rId29" xr:uid="{A9B65A28-6873-8A58-9B83-DE75FD5CB324}"/>
    <hyperlink ref="AL87" r:id="rId30" xr:uid="{B7AB3CE8-9638-20D2-0C14-ABF1D77EF743}"/>
    <hyperlink ref="AM87" r:id="rId31" xr:uid="{AAE64715-E446-6F95-8959-292400AAECAA}"/>
    <hyperlink ref="AN87" r:id="rId32" xr:uid="{3950C2CA-4348-DFBF-DFD8-89E4C697D678}"/>
    <hyperlink ref="AO87" r:id="rId33" xr:uid="{35D74888-F8C8-7128-4FA4-FE7A3F02418A}"/>
    <hyperlink ref="AP87" r:id="rId34" xr:uid="{BC3FDE28-43CB-6FDE-5238-B90CF93F600D}"/>
    <hyperlink ref="AQ87" r:id="rId35" xr:uid="{48B7B009-0368-7948-E7F8-0892559FE2ED}"/>
    <hyperlink ref="AR87" r:id="rId36" xr:uid="{BF36005F-B346-F656-97E8-898198CA2D98}"/>
    <hyperlink ref="AS87" r:id="rId37" xr:uid="{A59618FE-7737-E518-D62B-2E1A256EE433}"/>
    <hyperlink ref="AT87" r:id="rId38" xr:uid="{2337B7B8-635D-80F8-2408-9D33239E765A}"/>
    <hyperlink ref="AU87" r:id="rId39" xr:uid="{4B7A6328-6278-C56C-73B3-2C8D8E6E84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CA39-06A8-4DF8-02F8-9F1168FE14F2}" mc:Ignorable="x14ac xr xr2 xr3">
  <sheetPr>
    <tabColor theme="9" tint="-0.25"/>
  </sheetPr>
  <dimension ref="A1:CF371"/>
  <sheetViews>
    <sheetView topLeftCell="C4" showGridLines="0" zoomScale="90" workbookViewId="0">
      <selection activeCell="A371" sqref="A37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КГУП "Примтеплоэнерго"</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438</v>
      </c>
      <c r="F9" s="2119"/>
      <c r="G9" s="2119"/>
      <c r="H9" s="2119"/>
      <c r="I9" s="2119"/>
      <c r="J9" s="2119"/>
      <c r="K9" s="2119"/>
      <c r="L9" s="2119"/>
      <c r="M9" s="2119"/>
      <c r="N9" s="2119"/>
      <c r="O9" s="2119"/>
      <c r="P9" s="2119"/>
      <c r="Q9" s="2119"/>
      <c r="R9" s="2120"/>
      <c r="S9" s="2144" t="s">
        <v>439</v>
      </c>
      <c r="T9" s="338"/>
      <c r="CF9" s="509">
        <v>19</v>
      </c>
    </row>
    <row customHeight="1" ht="48.29999999999999">
      <c r="D10" s="555" t="s">
        <v>87</v>
      </c>
      <c r="E10" s="2144" t="s">
        <v>87</v>
      </c>
      <c r="F10" s="2144"/>
      <c r="G10" s="525" t="s">
        <v>440</v>
      </c>
      <c r="H10" s="2144" t="s">
        <v>87</v>
      </c>
      <c r="I10" s="2144"/>
      <c r="J10" s="525" t="s">
        <v>747</v>
      </c>
      <c r="K10" s="525" t="s">
        <v>748</v>
      </c>
      <c r="L10" s="2144" t="s">
        <v>87</v>
      </c>
      <c r="M10" s="2144"/>
      <c r="N10" s="525" t="s">
        <v>749</v>
      </c>
      <c r="O10" s="525" t="s">
        <v>750</v>
      </c>
      <c r="P10" s="525" t="s">
        <v>751</v>
      </c>
      <c r="Q10" s="525" t="s">
        <v>752</v>
      </c>
      <c r="R10" s="525" t="s">
        <v>753</v>
      </c>
      <c r="S10" s="2144"/>
      <c r="T10" s="338"/>
      <c r="CF10" s="509">
        <v>46</v>
      </c>
    </row>
    <row s="1646" customFormat="1" customHeight="1" ht="15">
      <c r="A11" s="1056"/>
      <c r="D11" s="1029" t="s">
        <v>105</v>
      </c>
      <c r="E11" s="1029"/>
      <c r="F11" s="1029" t="s">
        <v>102</v>
      </c>
      <c r="G11" s="1029" t="s">
        <v>89</v>
      </c>
      <c r="H11" s="1029"/>
      <c r="I11" s="1029" t="s">
        <v>90</v>
      </c>
      <c r="J11" s="1029" t="s">
        <v>120</v>
      </c>
      <c r="K11" s="1029" t="s">
        <v>91</v>
      </c>
      <c r="L11" s="1029"/>
      <c r="M11" s="1029" t="s">
        <v>92</v>
      </c>
      <c r="N11" s="1029" t="s">
        <v>133</v>
      </c>
      <c r="O11" s="1029" t="s">
        <v>148</v>
      </c>
      <c r="P11" s="1029" t="s">
        <v>155</v>
      </c>
      <c r="Q11" s="1029" t="s">
        <v>161</v>
      </c>
      <c r="R11" s="1029" t="s">
        <v>165</v>
      </c>
      <c r="S11" s="1029" t="s">
        <v>292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514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182</v>
      </c>
      <c r="B14" s="628"/>
      <c r="C14" s="628"/>
      <c r="D14" s="2397" t="s">
        <v>105</v>
      </c>
      <c r="E14" s="2394" t="s">
        <v>173</v>
      </c>
      <c r="F14" s="2395"/>
      <c r="G14" s="2396"/>
      <c r="H14" s="2400" t="str">
        <f>IF(A14="","",INDEX(DIFFERENTIATION_UNMERGE_VD,MATCH(A14,DIFFERENTIATION_ID_DIFF,0)))</f>
        <v>Холодное водоснабжение. Питьевая вода</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754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702</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703</v>
      </c>
      <c r="F16" s="2395"/>
      <c r="G16" s="2396"/>
      <c r="H16" s="2400" t="str">
        <f>IF(A14="","",INDEX(DIFFERENTIATION_UNMERGE_SYSTEM,MATCH(A14,DIFFERENTIATION_ID_DIFF,0)))</f>
        <v>Централизованная система водоснабжения Барабашского сельского поселения</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755</v>
      </c>
      <c r="F17" s="2393"/>
      <c r="G17" s="2393"/>
      <c r="H17" s="2393"/>
      <c r="I17" s="2393"/>
      <c r="J17" s="2393"/>
      <c r="K17" s="2393"/>
      <c r="L17" s="2393"/>
      <c r="M17" s="2393"/>
      <c r="N17" s="2393"/>
      <c r="O17" s="2393"/>
      <c r="P17" s="2393"/>
      <c r="Q17" s="562">
        <f>SUMIF(T18:T19,"i",Q18:Q19)</f>
        <v>0</v>
      </c>
      <c r="R17" s="1021"/>
      <c r="S17" s="901" t="s">
        <v>756</v>
      </c>
      <c r="T17" s="721" t="s">
        <v>757</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758</v>
      </c>
      <c r="F20" s="2393"/>
      <c r="G20" s="2393"/>
      <c r="H20" s="2393"/>
      <c r="I20" s="2393"/>
      <c r="J20" s="2393"/>
      <c r="K20" s="2393"/>
      <c r="L20" s="2393"/>
      <c r="M20" s="2393"/>
      <c r="N20" s="2393"/>
      <c r="O20" s="2393"/>
      <c r="P20" s="2393"/>
      <c r="Q20" s="562">
        <f>SUMIF(T21:T22,"i",Q21:Q22)</f>
        <v>0</v>
      </c>
      <c r="R20" s="1021"/>
      <c r="S20" s="713" t="s">
        <v>759</v>
      </c>
      <c r="T20" s="721" t="s">
        <v>757</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238</v>
      </c>
      <c r="B23" s="628"/>
      <c r="C23" s="628" t="s">
        <v>22</v>
      </c>
      <c r="D23" s="2595" t="s">
        <v>161</v>
      </c>
      <c r="E23" s="2394" t="s">
        <v>173</v>
      </c>
      <c r="F23" s="2395"/>
      <c r="G23" s="2396"/>
      <c r="H23" s="2400" t="str">
        <f>IF(A23="","",INDEX(DIFFERENTIATION_UNMERGE_VD,MATCH(A23,DIFFERENTIATION_ID_DIFF,0)))</f>
        <v>Подключение (технологическое присоединение) к централизованной системе водоснабжения</v>
      </c>
      <c r="I23" s="2400"/>
      <c r="J23" s="2400"/>
      <c r="K23" s="2400"/>
      <c r="L23" s="2400"/>
      <c r="M23" s="2400"/>
      <c r="N23" s="2400"/>
      <c r="O23" s="2400"/>
      <c r="P23" s="2400"/>
      <c r="Q23" s="2400"/>
      <c r="R23" s="2400"/>
      <c r="S23" s="723"/>
      <c r="T23" s="720"/>
      <c r="U23" s="629"/>
      <c r="V23" s="629"/>
      <c r="W23" s="630"/>
      <c r="X23" s="630"/>
      <c r="Y23" s="630"/>
      <c r="Z23" s="630"/>
      <c r="AA23" s="631"/>
      <c r="AB23" s="632"/>
      <c r="AC23" s="2392"/>
      <c r="AD23" s="633"/>
      <c r="AE23" s="634" t="s">
        <v>22</v>
      </c>
      <c r="AF23" s="634"/>
      <c r="AG23" s="635" t="s">
        <v>754</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1"/>
    </row>
    <row customHeight="1" ht="15" hidden="1">
      <c r="A24" s="627"/>
      <c r="B24" s="628"/>
      <c r="C24" s="628"/>
      <c r="D24" s="2596"/>
      <c r="E24" s="2394" t="s">
        <v>702</v>
      </c>
      <c r="F24" s="2395"/>
      <c r="G24" s="2396"/>
      <c r="H24" s="2400" t="str">
        <f>IF(A23="","",INDEX(DIFFERENTIATION_UNMERGE_AREA,MATCH(A23,DIFFERENTIATION_ID_DIFF,0)))</f>
        <v>Территория 8</v>
      </c>
      <c r="I24" s="2400"/>
      <c r="J24" s="2400"/>
      <c r="K24" s="2400"/>
      <c r="L24" s="2400"/>
      <c r="M24" s="2400"/>
      <c r="N24" s="2400"/>
      <c r="O24" s="2400"/>
      <c r="P24" s="2400"/>
      <c r="Q24" s="2400"/>
      <c r="R24" s="2400"/>
      <c r="S24" s="723"/>
      <c r="T24" s="720"/>
      <c r="U24" s="629"/>
      <c r="V24" s="629"/>
      <c r="W24" s="630"/>
      <c r="X24" s="630"/>
      <c r="Y24" s="630"/>
      <c r="Z24" s="630"/>
      <c r="AA24" s="631"/>
      <c r="AB24" s="632"/>
      <c r="AC24" s="2392"/>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1"/>
    </row>
    <row customHeight="1" ht="15" hidden="1">
      <c r="A25" s="627"/>
      <c r="B25" s="628"/>
      <c r="C25" s="628"/>
      <c r="D25" s="2596"/>
      <c r="E25" s="2394" t="s">
        <v>703</v>
      </c>
      <c r="F25" s="2395"/>
      <c r="G25" s="2396"/>
      <c r="H25" s="2400" t="str">
        <f>IF(A23="","",INDEX(DIFFERENTIATION_UNMERGE_SYSTEM,MATCH(A23,DIFFERENTIATION_ID_DIFF,0)))</f>
        <v>Черниговский МР</v>
      </c>
      <c r="I25" s="2400"/>
      <c r="J25" s="2400"/>
      <c r="K25" s="2400"/>
      <c r="L25" s="2400"/>
      <c r="M25" s="2400"/>
      <c r="N25" s="2400"/>
      <c r="O25" s="2400"/>
      <c r="P25" s="2400"/>
      <c r="Q25" s="2400"/>
      <c r="R25" s="2400"/>
      <c r="S25" s="723"/>
      <c r="T25" s="720"/>
      <c r="U25" s="629"/>
      <c r="V25" s="629"/>
      <c r="W25" s="630"/>
      <c r="X25" s="630"/>
      <c r="Y25" s="630"/>
      <c r="Z25" s="630"/>
      <c r="AA25" s="631"/>
      <c r="AB25" s="632"/>
      <c r="AC25" s="2392"/>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1"/>
    </row>
    <row customHeight="1" ht="24.75" hidden="1">
      <c r="A26" s="1809"/>
      <c r="B26" s="1164"/>
      <c r="C26" s="416"/>
      <c r="D26" s="2596"/>
      <c r="E26" s="2393" t="s">
        <v>755</v>
      </c>
      <c r="F26" s="2393"/>
      <c r="G26" s="2393"/>
      <c r="H26" s="2393"/>
      <c r="I26" s="2393"/>
      <c r="J26" s="2393"/>
      <c r="K26" s="2393"/>
      <c r="L26" s="2393"/>
      <c r="M26" s="2393"/>
      <c r="N26" s="2393"/>
      <c r="O26" s="2393"/>
      <c r="P26" s="2393"/>
      <c r="Q26" s="562">
        <f>SUMIF(T27:T28,"i",Q27:Q28)</f>
        <v>0</v>
      </c>
      <c r="R26" s="1021"/>
      <c r="S26" s="1801" t="s">
        <v>756</v>
      </c>
      <c r="T26" s="721" t="s">
        <v>757</v>
      </c>
      <c r="U26" s="2391">
        <v>1</v>
      </c>
      <c r="V26" s="2391" t="str">
        <f>INDEX(B_FHD_FLAG_INDEX_1,1,MATCH(A23,B_FHD_FLAG_DIFFERENTIATION,0))</f>
        <v>отсутствует</v>
      </c>
      <c r="W26" s="1164"/>
      <c r="X26" s="1164"/>
      <c r="Y26" s="1164"/>
      <c r="Z26" s="1164"/>
      <c r="AA26" s="1640"/>
      <c r="AB26" s="1164"/>
      <c r="AC26" s="2392"/>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1"/>
    </row>
    <row customHeight="1" ht="11.25" hidden="1">
      <c r="A27" s="1796"/>
      <c r="B27" s="1640"/>
      <c r="C27" s="1640"/>
      <c r="D27" s="2596"/>
      <c r="E27" s="639"/>
      <c r="F27" s="639">
        <v>0</v>
      </c>
      <c r="G27" s="639"/>
      <c r="H27" s="639"/>
      <c r="I27" s="639"/>
      <c r="J27" s="639"/>
      <c r="K27" s="639"/>
      <c r="L27" s="639"/>
      <c r="M27" s="639"/>
      <c r="N27" s="639"/>
      <c r="O27" s="639"/>
      <c r="P27" s="639"/>
      <c r="Q27" s="639"/>
      <c r="R27" s="639"/>
      <c r="S27" s="640"/>
      <c r="T27" s="722"/>
      <c r="U27" s="2391"/>
      <c r="V27" s="2391"/>
      <c r="W27" s="1640"/>
      <c r="X27" s="1640"/>
      <c r="Y27" s="1640"/>
      <c r="Z27" s="1640"/>
      <c r="AA27" s="1640"/>
      <c r="AB27" s="1164"/>
      <c r="AC27" s="2392"/>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1"/>
    </row>
    <row customHeight="1" ht="11.25" hidden="1">
      <c r="A28" s="1809"/>
      <c r="B28" s="1164"/>
      <c r="C28" s="416"/>
      <c r="D28" s="2596"/>
      <c r="E28" s="653" t="s">
        <v>22</v>
      </c>
      <c r="F28" s="1172" t="s">
        <v>22</v>
      </c>
      <c r="G28" s="1172" t="s">
        <v>760</v>
      </c>
      <c r="H28" s="655" t="s">
        <v>22</v>
      </c>
      <c r="I28" s="655"/>
      <c r="J28" s="655"/>
      <c r="K28" s="655"/>
      <c r="L28" s="655"/>
      <c r="M28" s="655"/>
      <c r="N28" s="655"/>
      <c r="O28" s="655"/>
      <c r="P28" s="655"/>
      <c r="Q28" s="655"/>
      <c r="R28" s="656"/>
      <c r="S28" s="657"/>
      <c r="T28" s="722"/>
      <c r="U28" s="2391"/>
      <c r="V28" s="2391"/>
      <c r="W28" s="1164"/>
      <c r="X28" s="1164"/>
      <c r="Y28" s="1164"/>
      <c r="Z28" s="1164"/>
      <c r="AA28" s="1640"/>
      <c r="AB28" s="1164"/>
      <c r="AC28" s="2392"/>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1"/>
    </row>
    <row customHeight="1" ht="24.75" hidden="1">
      <c r="A29" s="1809"/>
      <c r="B29" s="1164"/>
      <c r="C29" s="416"/>
      <c r="D29" s="2596"/>
      <c r="E29" s="2393" t="s">
        <v>758</v>
      </c>
      <c r="F29" s="2393"/>
      <c r="G29" s="2393"/>
      <c r="H29" s="2393"/>
      <c r="I29" s="2393"/>
      <c r="J29" s="2393"/>
      <c r="K29" s="2393"/>
      <c r="L29" s="2393"/>
      <c r="M29" s="2393"/>
      <c r="N29" s="2393"/>
      <c r="O29" s="2393"/>
      <c r="P29" s="2393"/>
      <c r="Q29" s="562">
        <f>SUMIF(T30:T31,"i",Q30:Q31)</f>
        <v>0</v>
      </c>
      <c r="R29" s="1021"/>
      <c r="S29" s="1801" t="s">
        <v>759</v>
      </c>
      <c r="T29" s="721" t="s">
        <v>757</v>
      </c>
      <c r="U29" s="2391">
        <v>1</v>
      </c>
      <c r="V29" s="2391" t="str">
        <f>INDEX(B_FHD_FLAG_INDEX_2,1,MATCH(A23,B_FHD_FLAG_DIFFERENTIATION,0))</f>
        <v>отсутствует</v>
      </c>
      <c r="W29" s="1164"/>
      <c r="X29" s="1164"/>
      <c r="Y29" s="1164"/>
      <c r="Z29" s="1164"/>
      <c r="AA29" s="1640"/>
      <c r="AB29" s="1164"/>
      <c r="AC29" s="1799"/>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1"/>
    </row>
    <row customHeight="1" ht="11.25" hidden="1">
      <c r="A30" s="1796"/>
      <c r="B30" s="1640"/>
      <c r="C30" s="1640"/>
      <c r="D30" s="2596"/>
      <c r="E30" s="639"/>
      <c r="F30" s="639">
        <v>0</v>
      </c>
      <c r="G30" s="639"/>
      <c r="H30" s="639"/>
      <c r="I30" s="639"/>
      <c r="J30" s="639"/>
      <c r="K30" s="639"/>
      <c r="L30" s="639"/>
      <c r="M30" s="639"/>
      <c r="N30" s="639"/>
      <c r="O30" s="639"/>
      <c r="P30" s="639"/>
      <c r="Q30" s="639"/>
      <c r="R30" s="639"/>
      <c r="S30" s="640"/>
      <c r="T30" s="722"/>
      <c r="U30" s="2391"/>
      <c r="V30" s="2391"/>
      <c r="W30" s="1640"/>
      <c r="X30" s="1640"/>
      <c r="Y30" s="1640"/>
      <c r="Z30" s="1640"/>
      <c r="AA30" s="1640"/>
      <c r="AB30" s="1164"/>
      <c r="AC30" s="1799"/>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1"/>
    </row>
    <row customHeight="1" ht="11.25" hidden="1">
      <c r="A31" s="1809"/>
      <c r="B31" s="1164"/>
      <c r="C31" s="416"/>
      <c r="D31" s="2597"/>
      <c r="E31" s="653" t="s">
        <v>22</v>
      </c>
      <c r="F31" s="1172" t="s">
        <v>22</v>
      </c>
      <c r="G31" s="1172" t="s">
        <v>760</v>
      </c>
      <c r="H31" s="655" t="s">
        <v>22</v>
      </c>
      <c r="I31" s="655"/>
      <c r="J31" s="655"/>
      <c r="K31" s="655"/>
      <c r="L31" s="655"/>
      <c r="M31" s="655"/>
      <c r="N31" s="655"/>
      <c r="O31" s="655"/>
      <c r="P31" s="655"/>
      <c r="Q31" s="655"/>
      <c r="R31" s="656"/>
      <c r="S31" s="657"/>
      <c r="T31" s="722"/>
      <c r="U31" s="2391"/>
      <c r="V31" s="2391"/>
      <c r="W31" s="1164"/>
      <c r="X31" s="1164"/>
      <c r="Y31" s="1164"/>
      <c r="Z31" s="1164"/>
      <c r="AA31" s="1640"/>
      <c r="AB31" s="1164"/>
      <c r="AC31" s="1799"/>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1"/>
    </row>
    <row customHeight="1" ht="15" hidden="1">
      <c r="A32" s="627" t="s">
        <v>250</v>
      </c>
      <c r="B32" s="628"/>
      <c r="C32" s="628" t="s">
        <v>22</v>
      </c>
      <c r="D32" s="2595" t="s">
        <v>761</v>
      </c>
      <c r="E32" s="2394" t="s">
        <v>173</v>
      </c>
      <c r="F32" s="2395"/>
      <c r="G32" s="2396"/>
      <c r="H32" s="2400" t="str">
        <f>IF(A32="","",INDEX(DIFFERENTIATION_UNMERGE_VD,MATCH(A32,DIFFERENTIATION_ID_DIFF,0)))</f>
        <v>Холодное водоснабжение. Техническая вода</v>
      </c>
      <c r="I32" s="2400"/>
      <c r="J32" s="2400"/>
      <c r="K32" s="2400"/>
      <c r="L32" s="2400"/>
      <c r="M32" s="2400"/>
      <c r="N32" s="2400"/>
      <c r="O32" s="2400"/>
      <c r="P32" s="2400"/>
      <c r="Q32" s="2400"/>
      <c r="R32" s="2400"/>
      <c r="S32" s="723"/>
      <c r="T32" s="720"/>
      <c r="U32" s="629"/>
      <c r="V32" s="629"/>
      <c r="W32" s="630"/>
      <c r="X32" s="630"/>
      <c r="Y32" s="630"/>
      <c r="Z32" s="630"/>
      <c r="AA32" s="631"/>
      <c r="AB32" s="632"/>
      <c r="AC32" s="2392"/>
      <c r="AD32" s="633"/>
      <c r="AE32" s="634" t="s">
        <v>22</v>
      </c>
      <c r="AF32" s="634"/>
      <c r="AG32" s="635" t="s">
        <v>754</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1"/>
    </row>
    <row customHeight="1" ht="15" hidden="1">
      <c r="A33" s="627"/>
      <c r="B33" s="628"/>
      <c r="C33" s="628"/>
      <c r="D33" s="2596"/>
      <c r="E33" s="2394" t="s">
        <v>702</v>
      </c>
      <c r="F33" s="2395"/>
      <c r="G33" s="2396"/>
      <c r="H33" s="2400" t="str">
        <f>IF(A32="","",INDEX(DIFFERENTIATION_UNMERGE_AREA,MATCH(A32,DIFFERENTIATION_ID_DIFF,0)))</f>
        <v>Территория 9</v>
      </c>
      <c r="I33" s="2400"/>
      <c r="J33" s="2400"/>
      <c r="K33" s="2400"/>
      <c r="L33" s="2400"/>
      <c r="M33" s="2400"/>
      <c r="N33" s="2400"/>
      <c r="O33" s="2400"/>
      <c r="P33" s="2400"/>
      <c r="Q33" s="2400"/>
      <c r="R33" s="2400"/>
      <c r="S33" s="723"/>
      <c r="T33" s="720"/>
      <c r="U33" s="629"/>
      <c r="V33" s="629"/>
      <c r="W33" s="630"/>
      <c r="X33" s="630"/>
      <c r="Y33" s="630"/>
      <c r="Z33" s="630"/>
      <c r="AA33" s="631"/>
      <c r="AB33" s="632"/>
      <c r="AC33" s="2392"/>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1"/>
    </row>
    <row customHeight="1" ht="15" hidden="1">
      <c r="A34" s="627"/>
      <c r="B34" s="628"/>
      <c r="C34" s="628"/>
      <c r="D34" s="2596"/>
      <c r="E34" s="2394" t="s">
        <v>703</v>
      </c>
      <c r="F34" s="2395"/>
      <c r="G34" s="2396"/>
      <c r="H34" s="2400" t="str">
        <f>IF(A32="","",INDEX(DIFFERENTIATION_UNMERGE_SYSTEM,MATCH(A32,DIFFERENTIATION_ID_DIFF,0)))</f>
        <v> Городской округ Спасск-Дальний, Городской округ Спасск-Дальний (05720000)</v>
      </c>
      <c r="I34" s="2400"/>
      <c r="J34" s="2400"/>
      <c r="K34" s="2400"/>
      <c r="L34" s="2400"/>
      <c r="M34" s="2400"/>
      <c r="N34" s="2400"/>
      <c r="O34" s="2400"/>
      <c r="P34" s="2400"/>
      <c r="Q34" s="2400"/>
      <c r="R34" s="2400"/>
      <c r="S34" s="723"/>
      <c r="T34" s="720"/>
      <c r="U34" s="629"/>
      <c r="V34" s="629"/>
      <c r="W34" s="630"/>
      <c r="X34" s="630"/>
      <c r="Y34" s="630"/>
      <c r="Z34" s="630"/>
      <c r="AA34" s="631"/>
      <c r="AB34" s="632"/>
      <c r="AC34" s="2392"/>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1"/>
    </row>
    <row customHeight="1" ht="24.75" hidden="1">
      <c r="A35" s="1809"/>
      <c r="B35" s="1164"/>
      <c r="C35" s="416"/>
      <c r="D35" s="2596"/>
      <c r="E35" s="2393" t="s">
        <v>755</v>
      </c>
      <c r="F35" s="2393"/>
      <c r="G35" s="2393"/>
      <c r="H35" s="2393"/>
      <c r="I35" s="2393"/>
      <c r="J35" s="2393"/>
      <c r="K35" s="2393"/>
      <c r="L35" s="2393"/>
      <c r="M35" s="2393"/>
      <c r="N35" s="2393"/>
      <c r="O35" s="2393"/>
      <c r="P35" s="2393"/>
      <c r="Q35" s="562">
        <f>SUMIF(T36:T37,"i",Q36:Q37)</f>
        <v>0</v>
      </c>
      <c r="R35" s="1021"/>
      <c r="S35" s="1801" t="s">
        <v>756</v>
      </c>
      <c r="T35" s="721" t="s">
        <v>757</v>
      </c>
      <c r="U35" s="2391">
        <v>1</v>
      </c>
      <c r="V35" s="2391" t="str">
        <f>INDEX(B_FHD_FLAG_INDEX_1,1,MATCH(A32,B_FHD_FLAG_DIFFERENTIATION,0))</f>
        <v>отсутствует</v>
      </c>
      <c r="W35" s="1164"/>
      <c r="X35" s="1164"/>
      <c r="Y35" s="1164"/>
      <c r="Z35" s="1164"/>
      <c r="AA35" s="1640"/>
      <c r="AB35" s="1164"/>
      <c r="AC35" s="2392"/>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1"/>
    </row>
    <row customHeight="1" ht="11.25" hidden="1">
      <c r="A36" s="1796"/>
      <c r="B36" s="1640"/>
      <c r="C36" s="1640"/>
      <c r="D36" s="2596"/>
      <c r="E36" s="639"/>
      <c r="F36" s="639">
        <v>0</v>
      </c>
      <c r="G36" s="639"/>
      <c r="H36" s="639"/>
      <c r="I36" s="639"/>
      <c r="J36" s="639"/>
      <c r="K36" s="639"/>
      <c r="L36" s="639"/>
      <c r="M36" s="639"/>
      <c r="N36" s="639"/>
      <c r="O36" s="639"/>
      <c r="P36" s="639"/>
      <c r="Q36" s="639"/>
      <c r="R36" s="639"/>
      <c r="S36" s="640"/>
      <c r="T36" s="722"/>
      <c r="U36" s="2391"/>
      <c r="V36" s="2391"/>
      <c r="W36" s="1640"/>
      <c r="X36" s="1640"/>
      <c r="Y36" s="1640"/>
      <c r="Z36" s="1640"/>
      <c r="AA36" s="1640"/>
      <c r="AB36" s="1164"/>
      <c r="AC36" s="2392"/>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1"/>
    </row>
    <row customHeight="1" ht="11.25" hidden="1">
      <c r="A37" s="1809"/>
      <c r="B37" s="1164"/>
      <c r="C37" s="416"/>
      <c r="D37" s="2596"/>
      <c r="E37" s="653" t="s">
        <v>22</v>
      </c>
      <c r="F37" s="1172" t="s">
        <v>22</v>
      </c>
      <c r="G37" s="1172" t="s">
        <v>760</v>
      </c>
      <c r="H37" s="655" t="s">
        <v>22</v>
      </c>
      <c r="I37" s="655"/>
      <c r="J37" s="655"/>
      <c r="K37" s="655"/>
      <c r="L37" s="655"/>
      <c r="M37" s="655"/>
      <c r="N37" s="655"/>
      <c r="O37" s="655"/>
      <c r="P37" s="655"/>
      <c r="Q37" s="655"/>
      <c r="R37" s="656"/>
      <c r="S37" s="657"/>
      <c r="T37" s="722"/>
      <c r="U37" s="2391"/>
      <c r="V37" s="2391"/>
      <c r="W37" s="1164"/>
      <c r="X37" s="1164"/>
      <c r="Y37" s="1164"/>
      <c r="Z37" s="1164"/>
      <c r="AA37" s="1640"/>
      <c r="AB37" s="1164"/>
      <c r="AC37" s="2392"/>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1"/>
    </row>
    <row customHeight="1" ht="24.75" hidden="1">
      <c r="A38" s="1809"/>
      <c r="B38" s="1164"/>
      <c r="C38" s="416"/>
      <c r="D38" s="2596"/>
      <c r="E38" s="2393" t="s">
        <v>758</v>
      </c>
      <c r="F38" s="2393"/>
      <c r="G38" s="2393"/>
      <c r="H38" s="2393"/>
      <c r="I38" s="2393"/>
      <c r="J38" s="2393"/>
      <c r="K38" s="2393"/>
      <c r="L38" s="2393"/>
      <c r="M38" s="2393"/>
      <c r="N38" s="2393"/>
      <c r="O38" s="2393"/>
      <c r="P38" s="2393"/>
      <c r="Q38" s="562">
        <f>SUMIF(T39:T40,"i",Q39:Q40)</f>
        <v>0</v>
      </c>
      <c r="R38" s="1021"/>
      <c r="S38" s="1801" t="s">
        <v>759</v>
      </c>
      <c r="T38" s="721" t="s">
        <v>757</v>
      </c>
      <c r="U38" s="2391">
        <v>1</v>
      </c>
      <c r="V38" s="2391" t="str">
        <f>INDEX(B_FHD_FLAG_INDEX_2,1,MATCH(A32,B_FHD_FLAG_DIFFERENTIATION,0))</f>
        <v>отсутствует</v>
      </c>
      <c r="W38" s="1164"/>
      <c r="X38" s="1164"/>
      <c r="Y38" s="1164"/>
      <c r="Z38" s="1164"/>
      <c r="AA38" s="1640"/>
      <c r="AB38" s="1164"/>
      <c r="AC38" s="1799"/>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1"/>
    </row>
    <row customHeight="1" ht="11.25" hidden="1">
      <c r="A39" s="1796"/>
      <c r="B39" s="1640"/>
      <c r="C39" s="1640"/>
      <c r="D39" s="2596"/>
      <c r="E39" s="639"/>
      <c r="F39" s="639">
        <v>0</v>
      </c>
      <c r="G39" s="639"/>
      <c r="H39" s="639"/>
      <c r="I39" s="639"/>
      <c r="J39" s="639"/>
      <c r="K39" s="639"/>
      <c r="L39" s="639"/>
      <c r="M39" s="639"/>
      <c r="N39" s="639"/>
      <c r="O39" s="639"/>
      <c r="P39" s="639"/>
      <c r="Q39" s="639"/>
      <c r="R39" s="639"/>
      <c r="S39" s="640"/>
      <c r="T39" s="722"/>
      <c r="U39" s="2391"/>
      <c r="V39" s="2391"/>
      <c r="W39" s="1640"/>
      <c r="X39" s="1640"/>
      <c r="Y39" s="1640"/>
      <c r="Z39" s="1640"/>
      <c r="AA39" s="1640"/>
      <c r="AB39" s="1164"/>
      <c r="AC39" s="1799"/>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1"/>
    </row>
    <row customHeight="1" ht="11.25" hidden="1">
      <c r="A40" s="1809"/>
      <c r="B40" s="1164"/>
      <c r="C40" s="416"/>
      <c r="D40" s="2597"/>
      <c r="E40" s="653" t="s">
        <v>22</v>
      </c>
      <c r="F40" s="1172" t="s">
        <v>22</v>
      </c>
      <c r="G40" s="1172" t="s">
        <v>760</v>
      </c>
      <c r="H40" s="655" t="s">
        <v>22</v>
      </c>
      <c r="I40" s="655"/>
      <c r="J40" s="655"/>
      <c r="K40" s="655"/>
      <c r="L40" s="655"/>
      <c r="M40" s="655"/>
      <c r="N40" s="655"/>
      <c r="O40" s="655"/>
      <c r="P40" s="655"/>
      <c r="Q40" s="655"/>
      <c r="R40" s="656"/>
      <c r="S40" s="657"/>
      <c r="T40" s="722"/>
      <c r="U40" s="2391"/>
      <c r="V40" s="2391"/>
      <c r="W40" s="1164"/>
      <c r="X40" s="1164"/>
      <c r="Y40" s="1164"/>
      <c r="Z40" s="1164"/>
      <c r="AA40" s="1640"/>
      <c r="AB40" s="1164"/>
      <c r="AC40" s="1799"/>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1"/>
    </row>
    <row customHeight="1" ht="15" hidden="1">
      <c r="A41" s="627" t="s">
        <v>253</v>
      </c>
      <c r="B41" s="628"/>
      <c r="C41" s="628" t="s">
        <v>22</v>
      </c>
      <c r="D41" s="2595" t="s">
        <v>762</v>
      </c>
      <c r="E41" s="2394" t="s">
        <v>173</v>
      </c>
      <c r="F41" s="2395"/>
      <c r="G41" s="2396"/>
      <c r="H41" s="2400" t="str">
        <f>IF(A41="","",INDEX(DIFFERENTIATION_UNMERGE_VD,MATCH(A41,DIFFERENTIATION_ID_DIFF,0)))</f>
        <v>Холодное водоснабжение. Подвозная вода</v>
      </c>
      <c r="I41" s="2400"/>
      <c r="J41" s="2400"/>
      <c r="K41" s="2400"/>
      <c r="L41" s="2400"/>
      <c r="M41" s="2400"/>
      <c r="N41" s="2400"/>
      <c r="O41" s="2400"/>
      <c r="P41" s="2400"/>
      <c r="Q41" s="2400"/>
      <c r="R41" s="2400"/>
      <c r="S41" s="723"/>
      <c r="T41" s="720"/>
      <c r="U41" s="629"/>
      <c r="V41" s="629"/>
      <c r="W41" s="630"/>
      <c r="X41" s="630"/>
      <c r="Y41" s="630"/>
      <c r="Z41" s="630"/>
      <c r="AA41" s="631"/>
      <c r="AB41" s="632"/>
      <c r="AC41" s="2392"/>
      <c r="AD41" s="633"/>
      <c r="AE41" s="634" t="s">
        <v>22</v>
      </c>
      <c r="AF41" s="634"/>
      <c r="AG41" s="635" t="s">
        <v>754</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1"/>
    </row>
    <row customHeight="1" ht="15" hidden="1">
      <c r="A42" s="627"/>
      <c r="B42" s="628"/>
      <c r="C42" s="628"/>
      <c r="D42" s="2596"/>
      <c r="E42" s="2394" t="s">
        <v>702</v>
      </c>
      <c r="F42" s="2395"/>
      <c r="G42" s="2396"/>
      <c r="H42" s="2400" t="str">
        <f>IF(A41="","",INDEX(DIFFERENTIATION_UNMERGE_AREA,MATCH(A41,DIFFERENTIATION_ID_DIFF,0)))</f>
        <v>Территория 2</v>
      </c>
      <c r="I42" s="2400"/>
      <c r="J42" s="2400"/>
      <c r="K42" s="2400"/>
      <c r="L42" s="2400"/>
      <c r="M42" s="2400"/>
      <c r="N42" s="2400"/>
      <c r="O42" s="2400"/>
      <c r="P42" s="2400"/>
      <c r="Q42" s="2400"/>
      <c r="R42" s="2400"/>
      <c r="S42" s="723"/>
      <c r="T42" s="720"/>
      <c r="U42" s="629"/>
      <c r="V42" s="629"/>
      <c r="W42" s="630"/>
      <c r="X42" s="630"/>
      <c r="Y42" s="630"/>
      <c r="Z42" s="630"/>
      <c r="AA42" s="631"/>
      <c r="AB42" s="632"/>
      <c r="AC42" s="2392"/>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1"/>
    </row>
    <row customHeight="1" ht="15" hidden="1">
      <c r="A43" s="627"/>
      <c r="B43" s="628"/>
      <c r="C43" s="628"/>
      <c r="D43" s="2596"/>
      <c r="E43" s="2394" t="s">
        <v>703</v>
      </c>
      <c r="F43" s="2395"/>
      <c r="G43" s="2396"/>
      <c r="H43" s="2400" t="str">
        <f>IF(A41="","",INDEX(DIFFERENTIATION_UNMERGE_SYSTEM,MATCH(A41,DIFFERENTIATION_ID_DIFF,0)))</f>
        <v>Анучинский муниципальный округ, Анучинский муниципальный округ (05502000)</v>
      </c>
      <c r="I43" s="2400"/>
      <c r="J43" s="2400"/>
      <c r="K43" s="2400"/>
      <c r="L43" s="2400"/>
      <c r="M43" s="2400"/>
      <c r="N43" s="2400"/>
      <c r="O43" s="2400"/>
      <c r="P43" s="2400"/>
      <c r="Q43" s="2400"/>
      <c r="R43" s="2400"/>
      <c r="S43" s="723"/>
      <c r="T43" s="720"/>
      <c r="U43" s="629"/>
      <c r="V43" s="629"/>
      <c r="W43" s="630"/>
      <c r="X43" s="630"/>
      <c r="Y43" s="630"/>
      <c r="Z43" s="630"/>
      <c r="AA43" s="631"/>
      <c r="AB43" s="632"/>
      <c r="AC43" s="2392"/>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1"/>
    </row>
    <row customHeight="1" ht="24.75" hidden="1">
      <c r="A44" s="1809"/>
      <c r="B44" s="1164"/>
      <c r="C44" s="416"/>
      <c r="D44" s="2596"/>
      <c r="E44" s="2393" t="s">
        <v>755</v>
      </c>
      <c r="F44" s="2393"/>
      <c r="G44" s="2393"/>
      <c r="H44" s="2393"/>
      <c r="I44" s="2393"/>
      <c r="J44" s="2393"/>
      <c r="K44" s="2393"/>
      <c r="L44" s="2393"/>
      <c r="M44" s="2393"/>
      <c r="N44" s="2393"/>
      <c r="O44" s="2393"/>
      <c r="P44" s="2393"/>
      <c r="Q44" s="562">
        <f>SUMIF(T45:T46,"i",Q45:Q46)</f>
        <v>0</v>
      </c>
      <c r="R44" s="1021"/>
      <c r="S44" s="1801" t="s">
        <v>756</v>
      </c>
      <c r="T44" s="721" t="s">
        <v>757</v>
      </c>
      <c r="U44" s="2391">
        <v>1</v>
      </c>
      <c r="V44" s="2391" t="str">
        <f>INDEX(B_FHD_FLAG_INDEX_1,1,MATCH(A41,B_FHD_FLAG_DIFFERENTIATION,0))</f>
        <v>отсутствует</v>
      </c>
      <c r="W44" s="1164"/>
      <c r="X44" s="1164"/>
      <c r="Y44" s="1164"/>
      <c r="Z44" s="1164"/>
      <c r="AA44" s="1640"/>
      <c r="AB44" s="1164"/>
      <c r="AC44" s="2392"/>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1"/>
    </row>
    <row customHeight="1" ht="11.25" hidden="1">
      <c r="A45" s="1796"/>
      <c r="B45" s="1640"/>
      <c r="C45" s="1640"/>
      <c r="D45" s="2596"/>
      <c r="E45" s="639"/>
      <c r="F45" s="639">
        <v>0</v>
      </c>
      <c r="G45" s="639"/>
      <c r="H45" s="639"/>
      <c r="I45" s="639"/>
      <c r="J45" s="639"/>
      <c r="K45" s="639"/>
      <c r="L45" s="639"/>
      <c r="M45" s="639"/>
      <c r="N45" s="639"/>
      <c r="O45" s="639"/>
      <c r="P45" s="639"/>
      <c r="Q45" s="639"/>
      <c r="R45" s="639"/>
      <c r="S45" s="640"/>
      <c r="T45" s="722"/>
      <c r="U45" s="2391"/>
      <c r="V45" s="2391"/>
      <c r="W45" s="1640"/>
      <c r="X45" s="1640"/>
      <c r="Y45" s="1640"/>
      <c r="Z45" s="1640"/>
      <c r="AA45" s="1640"/>
      <c r="AB45" s="1164"/>
      <c r="AC45" s="2392"/>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1"/>
    </row>
    <row customHeight="1" ht="11.25" hidden="1">
      <c r="A46" s="1809"/>
      <c r="B46" s="1164"/>
      <c r="C46" s="416"/>
      <c r="D46" s="2596"/>
      <c r="E46" s="653" t="s">
        <v>22</v>
      </c>
      <c r="F46" s="1172" t="s">
        <v>22</v>
      </c>
      <c r="G46" s="1172" t="s">
        <v>760</v>
      </c>
      <c r="H46" s="655" t="s">
        <v>22</v>
      </c>
      <c r="I46" s="655"/>
      <c r="J46" s="655"/>
      <c r="K46" s="655"/>
      <c r="L46" s="655"/>
      <c r="M46" s="655"/>
      <c r="N46" s="655"/>
      <c r="O46" s="655"/>
      <c r="P46" s="655"/>
      <c r="Q46" s="655"/>
      <c r="R46" s="656"/>
      <c r="S46" s="657"/>
      <c r="T46" s="722"/>
      <c r="U46" s="2391"/>
      <c r="V46" s="2391"/>
      <c r="W46" s="1164"/>
      <c r="X46" s="1164"/>
      <c r="Y46" s="1164"/>
      <c r="Z46" s="1164"/>
      <c r="AA46" s="1640"/>
      <c r="AB46" s="1164"/>
      <c r="AC46" s="2392"/>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1"/>
    </row>
    <row customHeight="1" ht="24.75" hidden="1">
      <c r="A47" s="1809"/>
      <c r="B47" s="1164"/>
      <c r="C47" s="416"/>
      <c r="D47" s="2596"/>
      <c r="E47" s="2393" t="s">
        <v>758</v>
      </c>
      <c r="F47" s="2393"/>
      <c r="G47" s="2393"/>
      <c r="H47" s="2393"/>
      <c r="I47" s="2393"/>
      <c r="J47" s="2393"/>
      <c r="K47" s="2393"/>
      <c r="L47" s="2393"/>
      <c r="M47" s="2393"/>
      <c r="N47" s="2393"/>
      <c r="O47" s="2393"/>
      <c r="P47" s="2393"/>
      <c r="Q47" s="562">
        <f>SUMIF(T48:T49,"i",Q48:Q49)</f>
        <v>0</v>
      </c>
      <c r="R47" s="1021"/>
      <c r="S47" s="1801" t="s">
        <v>759</v>
      </c>
      <c r="T47" s="721" t="s">
        <v>757</v>
      </c>
      <c r="U47" s="2391">
        <v>1</v>
      </c>
      <c r="V47" s="2391" t="str">
        <f>INDEX(B_FHD_FLAG_INDEX_2,1,MATCH(A41,B_FHD_FLAG_DIFFERENTIATION,0))</f>
        <v>отсутствует</v>
      </c>
      <c r="W47" s="1164"/>
      <c r="X47" s="1164"/>
      <c r="Y47" s="1164"/>
      <c r="Z47" s="1164"/>
      <c r="AA47" s="1640"/>
      <c r="AB47" s="1164"/>
      <c r="AC47" s="1799"/>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1"/>
    </row>
    <row customHeight="1" ht="11.25" hidden="1">
      <c r="A48" s="1796"/>
      <c r="B48" s="1640"/>
      <c r="C48" s="1640"/>
      <c r="D48" s="2596"/>
      <c r="E48" s="639"/>
      <c r="F48" s="639">
        <v>0</v>
      </c>
      <c r="G48" s="639"/>
      <c r="H48" s="639"/>
      <c r="I48" s="639"/>
      <c r="J48" s="639"/>
      <c r="K48" s="639"/>
      <c r="L48" s="639"/>
      <c r="M48" s="639"/>
      <c r="N48" s="639"/>
      <c r="O48" s="639"/>
      <c r="P48" s="639"/>
      <c r="Q48" s="639"/>
      <c r="R48" s="639"/>
      <c r="S48" s="640"/>
      <c r="T48" s="722"/>
      <c r="U48" s="2391"/>
      <c r="V48" s="2391"/>
      <c r="W48" s="1640"/>
      <c r="X48" s="1640"/>
      <c r="Y48" s="1640"/>
      <c r="Z48" s="1640"/>
      <c r="AA48" s="1640"/>
      <c r="AB48" s="1164"/>
      <c r="AC48" s="1799"/>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1"/>
    </row>
    <row customHeight="1" ht="11.25" hidden="1">
      <c r="A49" s="1809"/>
      <c r="B49" s="1164"/>
      <c r="C49" s="416"/>
      <c r="D49" s="2597"/>
      <c r="E49" s="653" t="s">
        <v>22</v>
      </c>
      <c r="F49" s="1172" t="s">
        <v>22</v>
      </c>
      <c r="G49" s="1172" t="s">
        <v>760</v>
      </c>
      <c r="H49" s="655" t="s">
        <v>22</v>
      </c>
      <c r="I49" s="655"/>
      <c r="J49" s="655"/>
      <c r="K49" s="655"/>
      <c r="L49" s="655"/>
      <c r="M49" s="655"/>
      <c r="N49" s="655"/>
      <c r="O49" s="655"/>
      <c r="P49" s="655"/>
      <c r="Q49" s="655"/>
      <c r="R49" s="656"/>
      <c r="S49" s="657"/>
      <c r="T49" s="722"/>
      <c r="U49" s="2391"/>
      <c r="V49" s="2391"/>
      <c r="W49" s="1164"/>
      <c r="X49" s="1164"/>
      <c r="Y49" s="1164"/>
      <c r="Z49" s="1164"/>
      <c r="AA49" s="1640"/>
      <c r="AB49" s="1164"/>
      <c r="AC49" s="1799"/>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1"/>
    </row>
    <row customHeight="1" ht="15" hidden="1">
      <c r="A50" s="627" t="s">
        <v>186</v>
      </c>
      <c r="B50" s="628"/>
      <c r="C50" s="628" t="s">
        <v>22</v>
      </c>
      <c r="D50" s="2595" t="s">
        <v>763</v>
      </c>
      <c r="E50" s="2394" t="s">
        <v>173</v>
      </c>
      <c r="F50" s="2395"/>
      <c r="G50" s="2396"/>
      <c r="H50" s="2400" t="str">
        <f>IF(A50="","",INDEX(DIFFERENTIATION_UNMERGE_VD,MATCH(A50,DIFFERENTIATION_ID_DIFF,0)))</f>
        <v>Холодное водоснабжение. Питьевая вода</v>
      </c>
      <c r="I50" s="2400"/>
      <c r="J50" s="2400"/>
      <c r="K50" s="2400"/>
      <c r="L50" s="2400"/>
      <c r="M50" s="2400"/>
      <c r="N50" s="2400"/>
      <c r="O50" s="2400"/>
      <c r="P50" s="2400"/>
      <c r="Q50" s="2400"/>
      <c r="R50" s="2400"/>
      <c r="S50" s="723"/>
      <c r="T50" s="720"/>
      <c r="U50" s="629"/>
      <c r="V50" s="629"/>
      <c r="W50" s="630"/>
      <c r="X50" s="630"/>
      <c r="Y50" s="630"/>
      <c r="Z50" s="630"/>
      <c r="AA50" s="631"/>
      <c r="AB50" s="632"/>
      <c r="AC50" s="2392"/>
      <c r="AD50" s="633"/>
      <c r="AE50" s="634" t="s">
        <v>22</v>
      </c>
      <c r="AF50" s="634"/>
      <c r="AG50" s="635" t="s">
        <v>754</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1"/>
    </row>
    <row customHeight="1" ht="15" hidden="1">
      <c r="A51" s="627"/>
      <c r="B51" s="628"/>
      <c r="C51" s="628"/>
      <c r="D51" s="2596"/>
      <c r="E51" s="2394" t="s">
        <v>702</v>
      </c>
      <c r="F51" s="2395"/>
      <c r="G51" s="2396"/>
      <c r="H51" s="2400" t="str">
        <f>IF(A50="","",INDEX(DIFFERENTIATION_UNMERGE_AREA,MATCH(A50,DIFFERENTIATION_ID_DIFF,0)))</f>
        <v>Территория 1</v>
      </c>
      <c r="I51" s="2400"/>
      <c r="J51" s="2400"/>
      <c r="K51" s="2400"/>
      <c r="L51" s="2400"/>
      <c r="M51" s="2400"/>
      <c r="N51" s="2400"/>
      <c r="O51" s="2400"/>
      <c r="P51" s="2400"/>
      <c r="Q51" s="2400"/>
      <c r="R51" s="2400"/>
      <c r="S51" s="723"/>
      <c r="T51" s="720"/>
      <c r="U51" s="629"/>
      <c r="V51" s="629"/>
      <c r="W51" s="630"/>
      <c r="X51" s="630"/>
      <c r="Y51" s="630"/>
      <c r="Z51" s="630"/>
      <c r="AA51" s="631"/>
      <c r="AB51" s="632"/>
      <c r="AC51" s="2392"/>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1"/>
    </row>
    <row customHeight="1" ht="15" hidden="1">
      <c r="A52" s="627"/>
      <c r="B52" s="628"/>
      <c r="C52" s="628"/>
      <c r="D52" s="2596"/>
      <c r="E52" s="2394" t="s">
        <v>703</v>
      </c>
      <c r="F52" s="2395"/>
      <c r="G52" s="2396"/>
      <c r="H52" s="2400" t="str">
        <f>IF(A50="","",INDEX(DIFFERENTIATION_UNMERGE_SYSTEM,MATCH(A50,DIFFERENTIATION_ID_DIFF,0)))</f>
        <v>Централизованная система водоснабжения Барабашского сельского поселения.Военный городок</v>
      </c>
      <c r="I52" s="2400"/>
      <c r="J52" s="2400"/>
      <c r="K52" s="2400"/>
      <c r="L52" s="2400"/>
      <c r="M52" s="2400"/>
      <c r="N52" s="2400"/>
      <c r="O52" s="2400"/>
      <c r="P52" s="2400"/>
      <c r="Q52" s="2400"/>
      <c r="R52" s="2400"/>
      <c r="S52" s="723"/>
      <c r="T52" s="720"/>
      <c r="U52" s="629"/>
      <c r="V52" s="629"/>
      <c r="W52" s="630"/>
      <c r="X52" s="630"/>
      <c r="Y52" s="630"/>
      <c r="Z52" s="630"/>
      <c r="AA52" s="631"/>
      <c r="AB52" s="632"/>
      <c r="AC52" s="2392"/>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1"/>
    </row>
    <row customHeight="1" ht="24.75" hidden="1">
      <c r="A53" s="1809"/>
      <c r="B53" s="1164"/>
      <c r="C53" s="416"/>
      <c r="D53" s="2596"/>
      <c r="E53" s="2393" t="s">
        <v>755</v>
      </c>
      <c r="F53" s="2393"/>
      <c r="G53" s="2393"/>
      <c r="H53" s="2393"/>
      <c r="I53" s="2393"/>
      <c r="J53" s="2393"/>
      <c r="K53" s="2393"/>
      <c r="L53" s="2393"/>
      <c r="M53" s="2393"/>
      <c r="N53" s="2393"/>
      <c r="O53" s="2393"/>
      <c r="P53" s="2393"/>
      <c r="Q53" s="562">
        <f>SUMIF(T54:T55,"i",Q54:Q55)</f>
        <v>0</v>
      </c>
      <c r="R53" s="1021"/>
      <c r="S53" s="1801" t="s">
        <v>756</v>
      </c>
      <c r="T53" s="721" t="s">
        <v>757</v>
      </c>
      <c r="U53" s="2391">
        <v>1</v>
      </c>
      <c r="V53" s="2391" t="str">
        <f>INDEX(B_FHD_FLAG_INDEX_1,1,MATCH(A50,B_FHD_FLAG_DIFFERENTIATION,0))</f>
        <v>отсутствует</v>
      </c>
      <c r="W53" s="1164"/>
      <c r="X53" s="1164"/>
      <c r="Y53" s="1164"/>
      <c r="Z53" s="1164"/>
      <c r="AA53" s="1640"/>
      <c r="AB53" s="1164"/>
      <c r="AC53" s="2392"/>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1"/>
    </row>
    <row customHeight="1" ht="11.25" hidden="1">
      <c r="A54" s="1796"/>
      <c r="B54" s="1640"/>
      <c r="C54" s="1640"/>
      <c r="D54" s="2596"/>
      <c r="E54" s="639"/>
      <c r="F54" s="639">
        <v>0</v>
      </c>
      <c r="G54" s="639"/>
      <c r="H54" s="639"/>
      <c r="I54" s="639"/>
      <c r="J54" s="639"/>
      <c r="K54" s="639"/>
      <c r="L54" s="639"/>
      <c r="M54" s="639"/>
      <c r="N54" s="639"/>
      <c r="O54" s="639"/>
      <c r="P54" s="639"/>
      <c r="Q54" s="639"/>
      <c r="R54" s="639"/>
      <c r="S54" s="640"/>
      <c r="T54" s="722"/>
      <c r="U54" s="2391"/>
      <c r="V54" s="2391"/>
      <c r="W54" s="1640"/>
      <c r="X54" s="1640"/>
      <c r="Y54" s="1640"/>
      <c r="Z54" s="1640"/>
      <c r="AA54" s="1640"/>
      <c r="AB54" s="1164"/>
      <c r="AC54" s="2392"/>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1"/>
    </row>
    <row customHeight="1" ht="11.25" hidden="1">
      <c r="A55" s="1809"/>
      <c r="B55" s="1164"/>
      <c r="C55" s="416"/>
      <c r="D55" s="2596"/>
      <c r="E55" s="653" t="s">
        <v>22</v>
      </c>
      <c r="F55" s="1172" t="s">
        <v>22</v>
      </c>
      <c r="G55" s="1172" t="s">
        <v>760</v>
      </c>
      <c r="H55" s="655" t="s">
        <v>22</v>
      </c>
      <c r="I55" s="655"/>
      <c r="J55" s="655"/>
      <c r="K55" s="655"/>
      <c r="L55" s="655"/>
      <c r="M55" s="655"/>
      <c r="N55" s="655"/>
      <c r="O55" s="655"/>
      <c r="P55" s="655"/>
      <c r="Q55" s="655"/>
      <c r="R55" s="656"/>
      <c r="S55" s="657"/>
      <c r="T55" s="722"/>
      <c r="U55" s="2391"/>
      <c r="V55" s="2391"/>
      <c r="W55" s="1164"/>
      <c r="X55" s="1164"/>
      <c r="Y55" s="1164"/>
      <c r="Z55" s="1164"/>
      <c r="AA55" s="1640"/>
      <c r="AB55" s="1164"/>
      <c r="AC55" s="2392"/>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1"/>
    </row>
    <row customHeight="1" ht="24.75" hidden="1">
      <c r="A56" s="1809"/>
      <c r="B56" s="1164"/>
      <c r="C56" s="416"/>
      <c r="D56" s="2596"/>
      <c r="E56" s="2393" t="s">
        <v>758</v>
      </c>
      <c r="F56" s="2393"/>
      <c r="G56" s="2393"/>
      <c r="H56" s="2393"/>
      <c r="I56" s="2393"/>
      <c r="J56" s="2393"/>
      <c r="K56" s="2393"/>
      <c r="L56" s="2393"/>
      <c r="M56" s="2393"/>
      <c r="N56" s="2393"/>
      <c r="O56" s="2393"/>
      <c r="P56" s="2393"/>
      <c r="Q56" s="562">
        <f>SUMIF(T57:T58,"i",Q57:Q58)</f>
        <v>0</v>
      </c>
      <c r="R56" s="1021"/>
      <c r="S56" s="1801" t="s">
        <v>759</v>
      </c>
      <c r="T56" s="721" t="s">
        <v>757</v>
      </c>
      <c r="U56" s="2391">
        <v>1</v>
      </c>
      <c r="V56" s="2391" t="str">
        <f>INDEX(B_FHD_FLAG_INDEX_2,1,MATCH(A50,B_FHD_FLAG_DIFFERENTIATION,0))</f>
        <v>отсутствует</v>
      </c>
      <c r="W56" s="1164"/>
      <c r="X56" s="1164"/>
      <c r="Y56" s="1164"/>
      <c r="Z56" s="1164"/>
      <c r="AA56" s="1640"/>
      <c r="AB56" s="1164"/>
      <c r="AC56" s="1799"/>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1"/>
    </row>
    <row customHeight="1" ht="11.25" hidden="1">
      <c r="A57" s="1796"/>
      <c r="B57" s="1640"/>
      <c r="C57" s="1640"/>
      <c r="D57" s="2596"/>
      <c r="E57" s="639"/>
      <c r="F57" s="639">
        <v>0</v>
      </c>
      <c r="G57" s="639"/>
      <c r="H57" s="639"/>
      <c r="I57" s="639"/>
      <c r="J57" s="639"/>
      <c r="K57" s="639"/>
      <c r="L57" s="639"/>
      <c r="M57" s="639"/>
      <c r="N57" s="639"/>
      <c r="O57" s="639"/>
      <c r="P57" s="639"/>
      <c r="Q57" s="639"/>
      <c r="R57" s="639"/>
      <c r="S57" s="640"/>
      <c r="T57" s="722"/>
      <c r="U57" s="2391"/>
      <c r="V57" s="2391"/>
      <c r="W57" s="1640"/>
      <c r="X57" s="1640"/>
      <c r="Y57" s="1640"/>
      <c r="Z57" s="1640"/>
      <c r="AA57" s="1640"/>
      <c r="AB57" s="1164"/>
      <c r="AC57" s="1799"/>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1"/>
    </row>
    <row customHeight="1" ht="11.25" hidden="1">
      <c r="A58" s="1809"/>
      <c r="B58" s="1164"/>
      <c r="C58" s="416"/>
      <c r="D58" s="2597"/>
      <c r="E58" s="653" t="s">
        <v>22</v>
      </c>
      <c r="F58" s="1172" t="s">
        <v>22</v>
      </c>
      <c r="G58" s="1172" t="s">
        <v>760</v>
      </c>
      <c r="H58" s="655" t="s">
        <v>22</v>
      </c>
      <c r="I58" s="655"/>
      <c r="J58" s="655"/>
      <c r="K58" s="655"/>
      <c r="L58" s="655"/>
      <c r="M58" s="655"/>
      <c r="N58" s="655"/>
      <c r="O58" s="655"/>
      <c r="P58" s="655"/>
      <c r="Q58" s="655"/>
      <c r="R58" s="656"/>
      <c r="S58" s="657"/>
      <c r="T58" s="722"/>
      <c r="U58" s="2391"/>
      <c r="V58" s="2391"/>
      <c r="W58" s="1164"/>
      <c r="X58" s="1164"/>
      <c r="Y58" s="1164"/>
      <c r="Z58" s="1164"/>
      <c r="AA58" s="1640"/>
      <c r="AB58" s="1164"/>
      <c r="AC58" s="1799"/>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1"/>
    </row>
    <row customHeight="1" ht="15" hidden="1">
      <c r="A59" s="627" t="s">
        <v>188</v>
      </c>
      <c r="B59" s="628"/>
      <c r="C59" s="628" t="s">
        <v>22</v>
      </c>
      <c r="D59" s="2595" t="s">
        <v>764</v>
      </c>
      <c r="E59" s="2394" t="s">
        <v>173</v>
      </c>
      <c r="F59" s="2395"/>
      <c r="G59" s="2396"/>
      <c r="H59" s="2400" t="str">
        <f>IF(A59="","",INDEX(DIFFERENTIATION_UNMERGE_VD,MATCH(A59,DIFFERENTIATION_ID_DIFF,0)))</f>
        <v>Холодное водоснабжение. Питьевая вода</v>
      </c>
      <c r="I59" s="2400"/>
      <c r="J59" s="2400"/>
      <c r="K59" s="2400"/>
      <c r="L59" s="2400"/>
      <c r="M59" s="2400"/>
      <c r="N59" s="2400"/>
      <c r="O59" s="2400"/>
      <c r="P59" s="2400"/>
      <c r="Q59" s="2400"/>
      <c r="R59" s="2400"/>
      <c r="S59" s="723"/>
      <c r="T59" s="720"/>
      <c r="U59" s="629"/>
      <c r="V59" s="629"/>
      <c r="W59" s="630"/>
      <c r="X59" s="630"/>
      <c r="Y59" s="630"/>
      <c r="Z59" s="630"/>
      <c r="AA59" s="631"/>
      <c r="AB59" s="632"/>
      <c r="AC59" s="2392"/>
      <c r="AD59" s="633"/>
      <c r="AE59" s="634" t="s">
        <v>22</v>
      </c>
      <c r="AF59" s="634"/>
      <c r="AG59" s="635" t="s">
        <v>754</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1"/>
    </row>
    <row customHeight="1" ht="15" hidden="1">
      <c r="A60" s="627"/>
      <c r="B60" s="628"/>
      <c r="C60" s="628"/>
      <c r="D60" s="2596"/>
      <c r="E60" s="2394" t="s">
        <v>702</v>
      </c>
      <c r="F60" s="2395"/>
      <c r="G60" s="2396"/>
      <c r="H60" s="2400" t="str">
        <f>IF(A59="","",INDEX(DIFFERENTIATION_UNMERGE_AREA,MATCH(A59,DIFFERENTIATION_ID_DIFF,0)))</f>
        <v>Территория 1</v>
      </c>
      <c r="I60" s="2400"/>
      <c r="J60" s="2400"/>
      <c r="K60" s="2400"/>
      <c r="L60" s="2400"/>
      <c r="M60" s="2400"/>
      <c r="N60" s="2400"/>
      <c r="O60" s="2400"/>
      <c r="P60" s="2400"/>
      <c r="Q60" s="2400"/>
      <c r="R60" s="2400"/>
      <c r="S60" s="723"/>
      <c r="T60" s="720"/>
      <c r="U60" s="629"/>
      <c r="V60" s="629"/>
      <c r="W60" s="630"/>
      <c r="X60" s="630"/>
      <c r="Y60" s="630"/>
      <c r="Z60" s="630"/>
      <c r="AA60" s="631"/>
      <c r="AB60" s="632"/>
      <c r="AC60" s="2392"/>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1"/>
    </row>
    <row customHeight="1" ht="15" hidden="1">
      <c r="A61" s="627"/>
      <c r="B61" s="628"/>
      <c r="C61" s="628"/>
      <c r="D61" s="2596"/>
      <c r="E61" s="2394" t="s">
        <v>703</v>
      </c>
      <c r="F61" s="2395"/>
      <c r="G61" s="2396"/>
      <c r="H61" s="2400" t="str">
        <f>IF(A59="","",INDEX(DIFFERENTIATION_UNMERGE_SYSTEM,MATCH(A59,DIFFERENTIATION_ID_DIFF,0)))</f>
        <v>Централизованная система водоснабжения Безверховского сельского поселения</v>
      </c>
      <c r="I61" s="2400"/>
      <c r="J61" s="2400"/>
      <c r="K61" s="2400"/>
      <c r="L61" s="2400"/>
      <c r="M61" s="2400"/>
      <c r="N61" s="2400"/>
      <c r="O61" s="2400"/>
      <c r="P61" s="2400"/>
      <c r="Q61" s="2400"/>
      <c r="R61" s="2400"/>
      <c r="S61" s="723"/>
      <c r="T61" s="720"/>
      <c r="U61" s="629"/>
      <c r="V61" s="629"/>
      <c r="W61" s="630"/>
      <c r="X61" s="630"/>
      <c r="Y61" s="630"/>
      <c r="Z61" s="630"/>
      <c r="AA61" s="631"/>
      <c r="AB61" s="632"/>
      <c r="AC61" s="2392"/>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1"/>
    </row>
    <row customHeight="1" ht="24.75" hidden="1">
      <c r="A62" s="1809"/>
      <c r="B62" s="1164"/>
      <c r="C62" s="416"/>
      <c r="D62" s="2596"/>
      <c r="E62" s="2393" t="s">
        <v>755</v>
      </c>
      <c r="F62" s="2393"/>
      <c r="G62" s="2393"/>
      <c r="H62" s="2393"/>
      <c r="I62" s="2393"/>
      <c r="J62" s="2393"/>
      <c r="K62" s="2393"/>
      <c r="L62" s="2393"/>
      <c r="M62" s="2393"/>
      <c r="N62" s="2393"/>
      <c r="O62" s="2393"/>
      <c r="P62" s="2393"/>
      <c r="Q62" s="562">
        <f>SUMIF(T63:T64,"i",Q63:Q64)</f>
        <v>0</v>
      </c>
      <c r="R62" s="1021"/>
      <c r="S62" s="1801" t="s">
        <v>756</v>
      </c>
      <c r="T62" s="721" t="s">
        <v>757</v>
      </c>
      <c r="U62" s="2391">
        <v>1</v>
      </c>
      <c r="V62" s="2391" t="str">
        <f>INDEX(B_FHD_FLAG_INDEX_1,1,MATCH(A59,B_FHD_FLAG_DIFFERENTIATION,0))</f>
        <v>отсутствует</v>
      </c>
      <c r="W62" s="1164"/>
      <c r="X62" s="1164"/>
      <c r="Y62" s="1164"/>
      <c r="Z62" s="1164"/>
      <c r="AA62" s="1640"/>
      <c r="AB62" s="1164"/>
      <c r="AC62" s="2392"/>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1"/>
    </row>
    <row customHeight="1" ht="11.25" hidden="1">
      <c r="A63" s="1796"/>
      <c r="B63" s="1640"/>
      <c r="C63" s="1640"/>
      <c r="D63" s="2596"/>
      <c r="E63" s="639"/>
      <c r="F63" s="639">
        <v>0</v>
      </c>
      <c r="G63" s="639"/>
      <c r="H63" s="639"/>
      <c r="I63" s="639"/>
      <c r="J63" s="639"/>
      <c r="K63" s="639"/>
      <c r="L63" s="639"/>
      <c r="M63" s="639"/>
      <c r="N63" s="639"/>
      <c r="O63" s="639"/>
      <c r="P63" s="639"/>
      <c r="Q63" s="639"/>
      <c r="R63" s="639"/>
      <c r="S63" s="640"/>
      <c r="T63" s="722"/>
      <c r="U63" s="2391"/>
      <c r="V63" s="2391"/>
      <c r="W63" s="1640"/>
      <c r="X63" s="1640"/>
      <c r="Y63" s="1640"/>
      <c r="Z63" s="1640"/>
      <c r="AA63" s="1640"/>
      <c r="AB63" s="1164"/>
      <c r="AC63" s="2392"/>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1"/>
    </row>
    <row customHeight="1" ht="11.25" hidden="1">
      <c r="A64" s="1809"/>
      <c r="B64" s="1164"/>
      <c r="C64" s="416"/>
      <c r="D64" s="2596"/>
      <c r="E64" s="653" t="s">
        <v>22</v>
      </c>
      <c r="F64" s="1172" t="s">
        <v>22</v>
      </c>
      <c r="G64" s="1172" t="s">
        <v>760</v>
      </c>
      <c r="H64" s="655" t="s">
        <v>22</v>
      </c>
      <c r="I64" s="655"/>
      <c r="J64" s="655"/>
      <c r="K64" s="655"/>
      <c r="L64" s="655"/>
      <c r="M64" s="655"/>
      <c r="N64" s="655"/>
      <c r="O64" s="655"/>
      <c r="P64" s="655"/>
      <c r="Q64" s="655"/>
      <c r="R64" s="656"/>
      <c r="S64" s="657"/>
      <c r="T64" s="722"/>
      <c r="U64" s="2391"/>
      <c r="V64" s="2391"/>
      <c r="W64" s="1164"/>
      <c r="X64" s="1164"/>
      <c r="Y64" s="1164"/>
      <c r="Z64" s="1164"/>
      <c r="AA64" s="1640"/>
      <c r="AB64" s="1164"/>
      <c r="AC64" s="2392"/>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1"/>
    </row>
    <row customHeight="1" ht="24.75" hidden="1">
      <c r="A65" s="1809"/>
      <c r="B65" s="1164"/>
      <c r="C65" s="416"/>
      <c r="D65" s="2596"/>
      <c r="E65" s="2393" t="s">
        <v>758</v>
      </c>
      <c r="F65" s="2393"/>
      <c r="G65" s="2393"/>
      <c r="H65" s="2393"/>
      <c r="I65" s="2393"/>
      <c r="J65" s="2393"/>
      <c r="K65" s="2393"/>
      <c r="L65" s="2393"/>
      <c r="M65" s="2393"/>
      <c r="N65" s="2393"/>
      <c r="O65" s="2393"/>
      <c r="P65" s="2393"/>
      <c r="Q65" s="562">
        <f>SUMIF(T66:T67,"i",Q66:Q67)</f>
        <v>0</v>
      </c>
      <c r="R65" s="1021"/>
      <c r="S65" s="1801" t="s">
        <v>759</v>
      </c>
      <c r="T65" s="721" t="s">
        <v>757</v>
      </c>
      <c r="U65" s="2391">
        <v>1</v>
      </c>
      <c r="V65" s="2391" t="str">
        <f>INDEX(B_FHD_FLAG_INDEX_2,1,MATCH(A59,B_FHD_FLAG_DIFFERENTIATION,0))</f>
        <v>отсутствует</v>
      </c>
      <c r="W65" s="1164"/>
      <c r="X65" s="1164"/>
      <c r="Y65" s="1164"/>
      <c r="Z65" s="1164"/>
      <c r="AA65" s="1640"/>
      <c r="AB65" s="1164"/>
      <c r="AC65" s="1799"/>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1"/>
    </row>
    <row customHeight="1" ht="11.25" hidden="1">
      <c r="A66" s="1796"/>
      <c r="B66" s="1640"/>
      <c r="C66" s="1640"/>
      <c r="D66" s="2596"/>
      <c r="E66" s="639"/>
      <c r="F66" s="639">
        <v>0</v>
      </c>
      <c r="G66" s="639"/>
      <c r="H66" s="639"/>
      <c r="I66" s="639"/>
      <c r="J66" s="639"/>
      <c r="K66" s="639"/>
      <c r="L66" s="639"/>
      <c r="M66" s="639"/>
      <c r="N66" s="639"/>
      <c r="O66" s="639"/>
      <c r="P66" s="639"/>
      <c r="Q66" s="639"/>
      <c r="R66" s="639"/>
      <c r="S66" s="640"/>
      <c r="T66" s="722"/>
      <c r="U66" s="2391"/>
      <c r="V66" s="2391"/>
      <c r="W66" s="1640"/>
      <c r="X66" s="1640"/>
      <c r="Y66" s="1640"/>
      <c r="Z66" s="1640"/>
      <c r="AA66" s="1640"/>
      <c r="AB66" s="1164"/>
      <c r="AC66" s="1799"/>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1"/>
    </row>
    <row customHeight="1" ht="11.25" hidden="1">
      <c r="A67" s="1809"/>
      <c r="B67" s="1164"/>
      <c r="C67" s="416"/>
      <c r="D67" s="2597"/>
      <c r="E67" s="653" t="s">
        <v>22</v>
      </c>
      <c r="F67" s="1172" t="s">
        <v>22</v>
      </c>
      <c r="G67" s="1172" t="s">
        <v>760</v>
      </c>
      <c r="H67" s="655" t="s">
        <v>22</v>
      </c>
      <c r="I67" s="655"/>
      <c r="J67" s="655"/>
      <c r="K67" s="655"/>
      <c r="L67" s="655"/>
      <c r="M67" s="655"/>
      <c r="N67" s="655"/>
      <c r="O67" s="655"/>
      <c r="P67" s="655"/>
      <c r="Q67" s="655"/>
      <c r="R67" s="656"/>
      <c r="S67" s="657"/>
      <c r="T67" s="722"/>
      <c r="U67" s="2391"/>
      <c r="V67" s="2391"/>
      <c r="W67" s="1164"/>
      <c r="X67" s="1164"/>
      <c r="Y67" s="1164"/>
      <c r="Z67" s="1164"/>
      <c r="AA67" s="1640"/>
      <c r="AB67" s="1164"/>
      <c r="AC67" s="1799"/>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1"/>
    </row>
    <row customHeight="1" ht="15" hidden="1">
      <c r="A68" s="627" t="s">
        <v>190</v>
      </c>
      <c r="B68" s="628"/>
      <c r="C68" s="628" t="s">
        <v>22</v>
      </c>
      <c r="D68" s="2595" t="s">
        <v>765</v>
      </c>
      <c r="E68" s="2394" t="s">
        <v>173</v>
      </c>
      <c r="F68" s="2395"/>
      <c r="G68" s="2396"/>
      <c r="H68" s="2400" t="str">
        <f>IF(A68="","",INDEX(DIFFERENTIATION_UNMERGE_VD,MATCH(A68,DIFFERENTIATION_ID_DIFF,0)))</f>
        <v>Холодное водоснабжение. Питьевая вода</v>
      </c>
      <c r="I68" s="2400"/>
      <c r="J68" s="2400"/>
      <c r="K68" s="2400"/>
      <c r="L68" s="2400"/>
      <c r="M68" s="2400"/>
      <c r="N68" s="2400"/>
      <c r="O68" s="2400"/>
      <c r="P68" s="2400"/>
      <c r="Q68" s="2400"/>
      <c r="R68" s="2400"/>
      <c r="S68" s="723"/>
      <c r="T68" s="720"/>
      <c r="U68" s="629"/>
      <c r="V68" s="629"/>
      <c r="W68" s="630"/>
      <c r="X68" s="630"/>
      <c r="Y68" s="630"/>
      <c r="Z68" s="630"/>
      <c r="AA68" s="631"/>
      <c r="AB68" s="632"/>
      <c r="AC68" s="2392"/>
      <c r="AD68" s="633"/>
      <c r="AE68" s="634" t="s">
        <v>22</v>
      </c>
      <c r="AF68" s="634"/>
      <c r="AG68" s="635" t="s">
        <v>754</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1"/>
    </row>
    <row customHeight="1" ht="15" hidden="1">
      <c r="A69" s="627"/>
      <c r="B69" s="628"/>
      <c r="C69" s="628"/>
      <c r="D69" s="2596"/>
      <c r="E69" s="2394" t="s">
        <v>702</v>
      </c>
      <c r="F69" s="2395"/>
      <c r="G69" s="2396"/>
      <c r="H69" s="2400" t="str">
        <f>IF(A68="","",INDEX(DIFFERENTIATION_UNMERGE_AREA,MATCH(A68,DIFFERENTIATION_ID_DIFF,0)))</f>
        <v>Территория 1</v>
      </c>
      <c r="I69" s="2400"/>
      <c r="J69" s="2400"/>
      <c r="K69" s="2400"/>
      <c r="L69" s="2400"/>
      <c r="M69" s="2400"/>
      <c r="N69" s="2400"/>
      <c r="O69" s="2400"/>
      <c r="P69" s="2400"/>
      <c r="Q69" s="2400"/>
      <c r="R69" s="2400"/>
      <c r="S69" s="723"/>
      <c r="T69" s="720"/>
      <c r="U69" s="629"/>
      <c r="V69" s="629"/>
      <c r="W69" s="630"/>
      <c r="X69" s="630"/>
      <c r="Y69" s="630"/>
      <c r="Z69" s="630"/>
      <c r="AA69" s="631"/>
      <c r="AB69" s="632"/>
      <c r="AC69" s="2392"/>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1"/>
    </row>
    <row customHeight="1" ht="15" hidden="1">
      <c r="A70" s="627"/>
      <c r="B70" s="628"/>
      <c r="C70" s="628"/>
      <c r="D70" s="2596"/>
      <c r="E70" s="2394" t="s">
        <v>703</v>
      </c>
      <c r="F70" s="2395"/>
      <c r="G70" s="2396"/>
      <c r="H70" s="2400" t="str">
        <f>IF(A68="","",INDEX(DIFFERENTIATION_UNMERGE_SYSTEM,MATCH(A68,DIFFERENTIATION_ID_DIFF,0)))</f>
        <v>Централизованная система водоснабжения Краскинского городского поселения</v>
      </c>
      <c r="I70" s="2400"/>
      <c r="J70" s="2400"/>
      <c r="K70" s="2400"/>
      <c r="L70" s="2400"/>
      <c r="M70" s="2400"/>
      <c r="N70" s="2400"/>
      <c r="O70" s="2400"/>
      <c r="P70" s="2400"/>
      <c r="Q70" s="2400"/>
      <c r="R70" s="2400"/>
      <c r="S70" s="723"/>
      <c r="T70" s="720"/>
      <c r="U70" s="629"/>
      <c r="V70" s="629"/>
      <c r="W70" s="630"/>
      <c r="X70" s="630"/>
      <c r="Y70" s="630"/>
      <c r="Z70" s="630"/>
      <c r="AA70" s="631"/>
      <c r="AB70" s="632"/>
      <c r="AC70" s="2392"/>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1"/>
    </row>
    <row customHeight="1" ht="24.75" hidden="1">
      <c r="A71" s="1809"/>
      <c r="B71" s="1164"/>
      <c r="C71" s="416"/>
      <c r="D71" s="2596"/>
      <c r="E71" s="2393" t="s">
        <v>755</v>
      </c>
      <c r="F71" s="2393"/>
      <c r="G71" s="2393"/>
      <c r="H71" s="2393"/>
      <c r="I71" s="2393"/>
      <c r="J71" s="2393"/>
      <c r="K71" s="2393"/>
      <c r="L71" s="2393"/>
      <c r="M71" s="2393"/>
      <c r="N71" s="2393"/>
      <c r="O71" s="2393"/>
      <c r="P71" s="2393"/>
      <c r="Q71" s="562">
        <f>SUMIF(T72:T73,"i",Q72:Q73)</f>
        <v>0</v>
      </c>
      <c r="R71" s="1021"/>
      <c r="S71" s="1801" t="s">
        <v>756</v>
      </c>
      <c r="T71" s="721" t="s">
        <v>757</v>
      </c>
      <c r="U71" s="2391">
        <v>1</v>
      </c>
      <c r="V71" s="2391" t="str">
        <f>INDEX(B_FHD_FLAG_INDEX_1,1,MATCH(A68,B_FHD_FLAG_DIFFERENTIATION,0))</f>
        <v>отсутствует</v>
      </c>
      <c r="W71" s="1164"/>
      <c r="X71" s="1164"/>
      <c r="Y71" s="1164"/>
      <c r="Z71" s="1164"/>
      <c r="AA71" s="1640"/>
      <c r="AB71" s="1164"/>
      <c r="AC71" s="2392"/>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1"/>
    </row>
    <row customHeight="1" ht="11.25" hidden="1">
      <c r="A72" s="1796"/>
      <c r="B72" s="1640"/>
      <c r="C72" s="1640"/>
      <c r="D72" s="2596"/>
      <c r="E72" s="639"/>
      <c r="F72" s="639">
        <v>0</v>
      </c>
      <c r="G72" s="639"/>
      <c r="H72" s="639"/>
      <c r="I72" s="639"/>
      <c r="J72" s="639"/>
      <c r="K72" s="639"/>
      <c r="L72" s="639"/>
      <c r="M72" s="639"/>
      <c r="N72" s="639"/>
      <c r="O72" s="639"/>
      <c r="P72" s="639"/>
      <c r="Q72" s="639"/>
      <c r="R72" s="639"/>
      <c r="S72" s="640"/>
      <c r="T72" s="722"/>
      <c r="U72" s="2391"/>
      <c r="V72" s="2391"/>
      <c r="W72" s="1640"/>
      <c r="X72" s="1640"/>
      <c r="Y72" s="1640"/>
      <c r="Z72" s="1640"/>
      <c r="AA72" s="1640"/>
      <c r="AB72" s="1164"/>
      <c r="AC72" s="2392"/>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1"/>
    </row>
    <row customHeight="1" ht="11.25" hidden="1">
      <c r="A73" s="1809"/>
      <c r="B73" s="1164"/>
      <c r="C73" s="416"/>
      <c r="D73" s="2596"/>
      <c r="E73" s="653" t="s">
        <v>22</v>
      </c>
      <c r="F73" s="1172" t="s">
        <v>22</v>
      </c>
      <c r="G73" s="1172" t="s">
        <v>760</v>
      </c>
      <c r="H73" s="655" t="s">
        <v>22</v>
      </c>
      <c r="I73" s="655"/>
      <c r="J73" s="655"/>
      <c r="K73" s="655"/>
      <c r="L73" s="655"/>
      <c r="M73" s="655"/>
      <c r="N73" s="655"/>
      <c r="O73" s="655"/>
      <c r="P73" s="655"/>
      <c r="Q73" s="655"/>
      <c r="R73" s="656"/>
      <c r="S73" s="657"/>
      <c r="T73" s="722"/>
      <c r="U73" s="2391"/>
      <c r="V73" s="2391"/>
      <c r="W73" s="1164"/>
      <c r="X73" s="1164"/>
      <c r="Y73" s="1164"/>
      <c r="Z73" s="1164"/>
      <c r="AA73" s="1640"/>
      <c r="AB73" s="1164"/>
      <c r="AC73" s="2392"/>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1"/>
    </row>
    <row customHeight="1" ht="24.75" hidden="1">
      <c r="A74" s="1809"/>
      <c r="B74" s="1164"/>
      <c r="C74" s="416"/>
      <c r="D74" s="2596"/>
      <c r="E74" s="2393" t="s">
        <v>758</v>
      </c>
      <c r="F74" s="2393"/>
      <c r="G74" s="2393"/>
      <c r="H74" s="2393"/>
      <c r="I74" s="2393"/>
      <c r="J74" s="2393"/>
      <c r="K74" s="2393"/>
      <c r="L74" s="2393"/>
      <c r="M74" s="2393"/>
      <c r="N74" s="2393"/>
      <c r="O74" s="2393"/>
      <c r="P74" s="2393"/>
      <c r="Q74" s="562">
        <f>SUMIF(T75:T76,"i",Q75:Q76)</f>
        <v>0</v>
      </c>
      <c r="R74" s="1021"/>
      <c r="S74" s="1801" t="s">
        <v>759</v>
      </c>
      <c r="T74" s="721" t="s">
        <v>757</v>
      </c>
      <c r="U74" s="2391">
        <v>1</v>
      </c>
      <c r="V74" s="2391" t="str">
        <f>INDEX(B_FHD_FLAG_INDEX_2,1,MATCH(A68,B_FHD_FLAG_DIFFERENTIATION,0))</f>
        <v>отсутствует</v>
      </c>
      <c r="W74" s="1164"/>
      <c r="X74" s="1164"/>
      <c r="Y74" s="1164"/>
      <c r="Z74" s="1164"/>
      <c r="AA74" s="1640"/>
      <c r="AB74" s="1164"/>
      <c r="AC74" s="1799"/>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1"/>
    </row>
    <row customHeight="1" ht="11.25" hidden="1">
      <c r="A75" s="1796"/>
      <c r="B75" s="1640"/>
      <c r="C75" s="1640"/>
      <c r="D75" s="2596"/>
      <c r="E75" s="639"/>
      <c r="F75" s="639">
        <v>0</v>
      </c>
      <c r="G75" s="639"/>
      <c r="H75" s="639"/>
      <c r="I75" s="639"/>
      <c r="J75" s="639"/>
      <c r="K75" s="639"/>
      <c r="L75" s="639"/>
      <c r="M75" s="639"/>
      <c r="N75" s="639"/>
      <c r="O75" s="639"/>
      <c r="P75" s="639"/>
      <c r="Q75" s="639"/>
      <c r="R75" s="639"/>
      <c r="S75" s="640"/>
      <c r="T75" s="722"/>
      <c r="U75" s="2391"/>
      <c r="V75" s="2391"/>
      <c r="W75" s="1640"/>
      <c r="X75" s="1640"/>
      <c r="Y75" s="1640"/>
      <c r="Z75" s="1640"/>
      <c r="AA75" s="1640"/>
      <c r="AB75" s="1164"/>
      <c r="AC75" s="1799"/>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1"/>
    </row>
    <row customHeight="1" ht="11.25" hidden="1">
      <c r="A76" s="1809"/>
      <c r="B76" s="1164"/>
      <c r="C76" s="416"/>
      <c r="D76" s="2597"/>
      <c r="E76" s="653" t="s">
        <v>22</v>
      </c>
      <c r="F76" s="1172" t="s">
        <v>22</v>
      </c>
      <c r="G76" s="1172" t="s">
        <v>760</v>
      </c>
      <c r="H76" s="655" t="s">
        <v>22</v>
      </c>
      <c r="I76" s="655"/>
      <c r="J76" s="655"/>
      <c r="K76" s="655"/>
      <c r="L76" s="655"/>
      <c r="M76" s="655"/>
      <c r="N76" s="655"/>
      <c r="O76" s="655"/>
      <c r="P76" s="655"/>
      <c r="Q76" s="655"/>
      <c r="R76" s="656"/>
      <c r="S76" s="657"/>
      <c r="T76" s="722"/>
      <c r="U76" s="2391"/>
      <c r="V76" s="2391"/>
      <c r="W76" s="1164"/>
      <c r="X76" s="1164"/>
      <c r="Y76" s="1164"/>
      <c r="Z76" s="1164"/>
      <c r="AA76" s="1640"/>
      <c r="AB76" s="1164"/>
      <c r="AC76" s="1799"/>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1"/>
    </row>
    <row customHeight="1" ht="15" hidden="1">
      <c r="A77" s="627" t="s">
        <v>192</v>
      </c>
      <c r="B77" s="628"/>
      <c r="C77" s="628" t="s">
        <v>22</v>
      </c>
      <c r="D77" s="2595" t="s">
        <v>766</v>
      </c>
      <c r="E77" s="2394" t="s">
        <v>173</v>
      </c>
      <c r="F77" s="2395"/>
      <c r="G77" s="2396"/>
      <c r="H77" s="2400" t="str">
        <f>IF(A77="","",INDEX(DIFFERENTIATION_UNMERGE_VD,MATCH(A77,DIFFERENTIATION_ID_DIFF,0)))</f>
        <v>Холодное водоснабжение. Питьевая вода</v>
      </c>
      <c r="I77" s="2400"/>
      <c r="J77" s="2400"/>
      <c r="K77" s="2400"/>
      <c r="L77" s="2400"/>
      <c r="M77" s="2400"/>
      <c r="N77" s="2400"/>
      <c r="O77" s="2400"/>
      <c r="P77" s="2400"/>
      <c r="Q77" s="2400"/>
      <c r="R77" s="2400"/>
      <c r="S77" s="723"/>
      <c r="T77" s="720"/>
      <c r="U77" s="629"/>
      <c r="V77" s="629"/>
      <c r="W77" s="630"/>
      <c r="X77" s="630"/>
      <c r="Y77" s="630"/>
      <c r="Z77" s="630"/>
      <c r="AA77" s="631"/>
      <c r="AB77" s="632"/>
      <c r="AC77" s="2392"/>
      <c r="AD77" s="633"/>
      <c r="AE77" s="634" t="s">
        <v>22</v>
      </c>
      <c r="AF77" s="634"/>
      <c r="AG77" s="635" t="s">
        <v>754</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1"/>
    </row>
    <row customHeight="1" ht="15" hidden="1">
      <c r="A78" s="627"/>
      <c r="B78" s="628"/>
      <c r="C78" s="628"/>
      <c r="D78" s="2596"/>
      <c r="E78" s="2394" t="s">
        <v>702</v>
      </c>
      <c r="F78" s="2395"/>
      <c r="G78" s="2396"/>
      <c r="H78" s="2400" t="str">
        <f>IF(A77="","",INDEX(DIFFERENTIATION_UNMERGE_AREA,MATCH(A77,DIFFERENTIATION_ID_DIFF,0)))</f>
        <v>Территория 1</v>
      </c>
      <c r="I78" s="2400"/>
      <c r="J78" s="2400"/>
      <c r="K78" s="2400"/>
      <c r="L78" s="2400"/>
      <c r="M78" s="2400"/>
      <c r="N78" s="2400"/>
      <c r="O78" s="2400"/>
      <c r="P78" s="2400"/>
      <c r="Q78" s="2400"/>
      <c r="R78" s="2400"/>
      <c r="S78" s="723"/>
      <c r="T78" s="720"/>
      <c r="U78" s="629"/>
      <c r="V78" s="629"/>
      <c r="W78" s="630"/>
      <c r="X78" s="630"/>
      <c r="Y78" s="630"/>
      <c r="Z78" s="630"/>
      <c r="AA78" s="631"/>
      <c r="AB78" s="632"/>
      <c r="AC78" s="2392"/>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1"/>
    </row>
    <row customHeight="1" ht="15" hidden="1">
      <c r="A79" s="627"/>
      <c r="B79" s="628"/>
      <c r="C79" s="628"/>
      <c r="D79" s="2596"/>
      <c r="E79" s="2394" t="s">
        <v>703</v>
      </c>
      <c r="F79" s="2395"/>
      <c r="G79" s="2396"/>
      <c r="H79" s="2400" t="str">
        <f>IF(A77="","",INDEX(DIFFERENTIATION_UNMERGE_SYSTEM,MATCH(A77,DIFFERENTIATION_ID_DIFF,0)))</f>
        <v>Централизованная система водоснабжения Посьетского городского поселения</v>
      </c>
      <c r="I79" s="2400"/>
      <c r="J79" s="2400"/>
      <c r="K79" s="2400"/>
      <c r="L79" s="2400"/>
      <c r="M79" s="2400"/>
      <c r="N79" s="2400"/>
      <c r="O79" s="2400"/>
      <c r="P79" s="2400"/>
      <c r="Q79" s="2400"/>
      <c r="R79" s="2400"/>
      <c r="S79" s="723"/>
      <c r="T79" s="720"/>
      <c r="U79" s="629"/>
      <c r="V79" s="629"/>
      <c r="W79" s="630"/>
      <c r="X79" s="630"/>
      <c r="Y79" s="630"/>
      <c r="Z79" s="630"/>
      <c r="AA79" s="631"/>
      <c r="AB79" s="632"/>
      <c r="AC79" s="2392"/>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1"/>
    </row>
    <row customHeight="1" ht="24.75" hidden="1">
      <c r="A80" s="1809"/>
      <c r="B80" s="1164"/>
      <c r="C80" s="416"/>
      <c r="D80" s="2596"/>
      <c r="E80" s="2393" t="s">
        <v>755</v>
      </c>
      <c r="F80" s="2393"/>
      <c r="G80" s="2393"/>
      <c r="H80" s="2393"/>
      <c r="I80" s="2393"/>
      <c r="J80" s="2393"/>
      <c r="K80" s="2393"/>
      <c r="L80" s="2393"/>
      <c r="M80" s="2393"/>
      <c r="N80" s="2393"/>
      <c r="O80" s="2393"/>
      <c r="P80" s="2393"/>
      <c r="Q80" s="562">
        <f>SUMIF(T81:T82,"i",Q81:Q82)</f>
        <v>0</v>
      </c>
      <c r="R80" s="1021"/>
      <c r="S80" s="1801" t="s">
        <v>756</v>
      </c>
      <c r="T80" s="721" t="s">
        <v>757</v>
      </c>
      <c r="U80" s="2391">
        <v>1</v>
      </c>
      <c r="V80" s="2391" t="str">
        <f>INDEX(B_FHD_FLAG_INDEX_1,1,MATCH(A77,B_FHD_FLAG_DIFFERENTIATION,0))</f>
        <v>отсутствует</v>
      </c>
      <c r="W80" s="1164"/>
      <c r="X80" s="1164"/>
      <c r="Y80" s="1164"/>
      <c r="Z80" s="1164"/>
      <c r="AA80" s="1640"/>
      <c r="AB80" s="1164"/>
      <c r="AC80" s="2392"/>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1"/>
    </row>
    <row customHeight="1" ht="11.25" hidden="1">
      <c r="A81" s="1796"/>
      <c r="B81" s="1640"/>
      <c r="C81" s="1640"/>
      <c r="D81" s="2596"/>
      <c r="E81" s="639"/>
      <c r="F81" s="639">
        <v>0</v>
      </c>
      <c r="G81" s="639"/>
      <c r="H81" s="639"/>
      <c r="I81" s="639"/>
      <c r="J81" s="639"/>
      <c r="K81" s="639"/>
      <c r="L81" s="639"/>
      <c r="M81" s="639"/>
      <c r="N81" s="639"/>
      <c r="O81" s="639"/>
      <c r="P81" s="639"/>
      <c r="Q81" s="639"/>
      <c r="R81" s="639"/>
      <c r="S81" s="640"/>
      <c r="T81" s="722"/>
      <c r="U81" s="2391"/>
      <c r="V81" s="2391"/>
      <c r="W81" s="1640"/>
      <c r="X81" s="1640"/>
      <c r="Y81" s="1640"/>
      <c r="Z81" s="1640"/>
      <c r="AA81" s="1640"/>
      <c r="AB81" s="1164"/>
      <c r="AC81" s="2392"/>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1"/>
    </row>
    <row customHeight="1" ht="11.25" hidden="1">
      <c r="A82" s="1809"/>
      <c r="B82" s="1164"/>
      <c r="C82" s="416"/>
      <c r="D82" s="2596"/>
      <c r="E82" s="653" t="s">
        <v>22</v>
      </c>
      <c r="F82" s="1172" t="s">
        <v>22</v>
      </c>
      <c r="G82" s="1172" t="s">
        <v>760</v>
      </c>
      <c r="H82" s="655" t="s">
        <v>22</v>
      </c>
      <c r="I82" s="655"/>
      <c r="J82" s="655"/>
      <c r="K82" s="655"/>
      <c r="L82" s="655"/>
      <c r="M82" s="655"/>
      <c r="N82" s="655"/>
      <c r="O82" s="655"/>
      <c r="P82" s="655"/>
      <c r="Q82" s="655"/>
      <c r="R82" s="656"/>
      <c r="S82" s="657"/>
      <c r="T82" s="722"/>
      <c r="U82" s="2391"/>
      <c r="V82" s="2391"/>
      <c r="W82" s="1164"/>
      <c r="X82" s="1164"/>
      <c r="Y82" s="1164"/>
      <c r="Z82" s="1164"/>
      <c r="AA82" s="1640"/>
      <c r="AB82" s="1164"/>
      <c r="AC82" s="2392"/>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1"/>
    </row>
    <row customHeight="1" ht="24.75" hidden="1">
      <c r="A83" s="1809"/>
      <c r="B83" s="1164"/>
      <c r="C83" s="416"/>
      <c r="D83" s="2596"/>
      <c r="E83" s="2393" t="s">
        <v>758</v>
      </c>
      <c r="F83" s="2393"/>
      <c r="G83" s="2393"/>
      <c r="H83" s="2393"/>
      <c r="I83" s="2393"/>
      <c r="J83" s="2393"/>
      <c r="K83" s="2393"/>
      <c r="L83" s="2393"/>
      <c r="M83" s="2393"/>
      <c r="N83" s="2393"/>
      <c r="O83" s="2393"/>
      <c r="P83" s="2393"/>
      <c r="Q83" s="562">
        <f>SUMIF(T84:T85,"i",Q84:Q85)</f>
        <v>0</v>
      </c>
      <c r="R83" s="1021"/>
      <c r="S83" s="1801" t="s">
        <v>759</v>
      </c>
      <c r="T83" s="721" t="s">
        <v>757</v>
      </c>
      <c r="U83" s="2391">
        <v>1</v>
      </c>
      <c r="V83" s="2391" t="str">
        <f>INDEX(B_FHD_FLAG_INDEX_2,1,MATCH(A77,B_FHD_FLAG_DIFFERENTIATION,0))</f>
        <v>отсутствует</v>
      </c>
      <c r="W83" s="1164"/>
      <c r="X83" s="1164"/>
      <c r="Y83" s="1164"/>
      <c r="Z83" s="1164"/>
      <c r="AA83" s="1640"/>
      <c r="AB83" s="1164"/>
      <c r="AC83" s="1799"/>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1"/>
    </row>
    <row customHeight="1" ht="11.25" hidden="1">
      <c r="A84" s="1796"/>
      <c r="B84" s="1640"/>
      <c r="C84" s="1640"/>
      <c r="D84" s="2596"/>
      <c r="E84" s="639"/>
      <c r="F84" s="639">
        <v>0</v>
      </c>
      <c r="G84" s="639"/>
      <c r="H84" s="639"/>
      <c r="I84" s="639"/>
      <c r="J84" s="639"/>
      <c r="K84" s="639"/>
      <c r="L84" s="639"/>
      <c r="M84" s="639"/>
      <c r="N84" s="639"/>
      <c r="O84" s="639"/>
      <c r="P84" s="639"/>
      <c r="Q84" s="639"/>
      <c r="R84" s="639"/>
      <c r="S84" s="640"/>
      <c r="T84" s="722"/>
      <c r="U84" s="2391"/>
      <c r="V84" s="2391"/>
      <c r="W84" s="1640"/>
      <c r="X84" s="1640"/>
      <c r="Y84" s="1640"/>
      <c r="Z84" s="1640"/>
      <c r="AA84" s="1640"/>
      <c r="AB84" s="1164"/>
      <c r="AC84" s="1799"/>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1"/>
    </row>
    <row customHeight="1" ht="11.25" hidden="1">
      <c r="A85" s="1809"/>
      <c r="B85" s="1164"/>
      <c r="C85" s="416"/>
      <c r="D85" s="2597"/>
      <c r="E85" s="653" t="s">
        <v>22</v>
      </c>
      <c r="F85" s="1172" t="s">
        <v>22</v>
      </c>
      <c r="G85" s="1172" t="s">
        <v>760</v>
      </c>
      <c r="H85" s="655" t="s">
        <v>22</v>
      </c>
      <c r="I85" s="655"/>
      <c r="J85" s="655"/>
      <c r="K85" s="655"/>
      <c r="L85" s="655"/>
      <c r="M85" s="655"/>
      <c r="N85" s="655"/>
      <c r="O85" s="655"/>
      <c r="P85" s="655"/>
      <c r="Q85" s="655"/>
      <c r="R85" s="656"/>
      <c r="S85" s="657"/>
      <c r="T85" s="722"/>
      <c r="U85" s="2391"/>
      <c r="V85" s="2391"/>
      <c r="W85" s="1164"/>
      <c r="X85" s="1164"/>
      <c r="Y85" s="1164"/>
      <c r="Z85" s="1164"/>
      <c r="AA85" s="1640"/>
      <c r="AB85" s="1164"/>
      <c r="AC85" s="1799"/>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1"/>
    </row>
    <row customHeight="1" ht="15" hidden="1">
      <c r="A86" s="627" t="s">
        <v>194</v>
      </c>
      <c r="B86" s="628"/>
      <c r="C86" s="628" t="s">
        <v>22</v>
      </c>
      <c r="D86" s="2595" t="s">
        <v>767</v>
      </c>
      <c r="E86" s="2394" t="s">
        <v>173</v>
      </c>
      <c r="F86" s="2395"/>
      <c r="G86" s="2396"/>
      <c r="H86" s="2400" t="str">
        <f>IF(A86="","",INDEX(DIFFERENTIATION_UNMERGE_VD,MATCH(A86,DIFFERENTIATION_ID_DIFF,0)))</f>
        <v>Холодное водоснабжение. Питьевая вода</v>
      </c>
      <c r="I86" s="2400"/>
      <c r="J86" s="2400"/>
      <c r="K86" s="2400"/>
      <c r="L86" s="2400"/>
      <c r="M86" s="2400"/>
      <c r="N86" s="2400"/>
      <c r="O86" s="2400"/>
      <c r="P86" s="2400"/>
      <c r="Q86" s="2400"/>
      <c r="R86" s="2400"/>
      <c r="S86" s="723"/>
      <c r="T86" s="720"/>
      <c r="U86" s="629"/>
      <c r="V86" s="629"/>
      <c r="W86" s="630"/>
      <c r="X86" s="630"/>
      <c r="Y86" s="630"/>
      <c r="Z86" s="630"/>
      <c r="AA86" s="631"/>
      <c r="AB86" s="632"/>
      <c r="AC86" s="2392"/>
      <c r="AD86" s="633"/>
      <c r="AE86" s="634" t="s">
        <v>22</v>
      </c>
      <c r="AF86" s="634"/>
      <c r="AG86" s="635" t="s">
        <v>754</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1"/>
    </row>
    <row customHeight="1" ht="15" hidden="1">
      <c r="A87" s="627"/>
      <c r="B87" s="628"/>
      <c r="C87" s="628"/>
      <c r="D87" s="2596"/>
      <c r="E87" s="2394" t="s">
        <v>702</v>
      </c>
      <c r="F87" s="2395"/>
      <c r="G87" s="2396"/>
      <c r="H87" s="2400" t="str">
        <f>IF(A86="","",INDEX(DIFFERENTIATION_UNMERGE_AREA,MATCH(A86,DIFFERENTIATION_ID_DIFF,0)))</f>
        <v>Территория 1</v>
      </c>
      <c r="I87" s="2400"/>
      <c r="J87" s="2400"/>
      <c r="K87" s="2400"/>
      <c r="L87" s="2400"/>
      <c r="M87" s="2400"/>
      <c r="N87" s="2400"/>
      <c r="O87" s="2400"/>
      <c r="P87" s="2400"/>
      <c r="Q87" s="2400"/>
      <c r="R87" s="2400"/>
      <c r="S87" s="723"/>
      <c r="T87" s="720"/>
      <c r="U87" s="629"/>
      <c r="V87" s="629"/>
      <c r="W87" s="630"/>
      <c r="X87" s="630"/>
      <c r="Y87" s="630"/>
      <c r="Z87" s="630"/>
      <c r="AA87" s="631"/>
      <c r="AB87" s="632"/>
      <c r="AC87" s="2392"/>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1"/>
    </row>
    <row customHeight="1" ht="15" hidden="1">
      <c r="A88" s="627"/>
      <c r="B88" s="628"/>
      <c r="C88" s="628"/>
      <c r="D88" s="2596"/>
      <c r="E88" s="2394" t="s">
        <v>703</v>
      </c>
      <c r="F88" s="2395"/>
      <c r="G88" s="2396"/>
      <c r="H88" s="2400" t="str">
        <f>IF(A86="","",INDEX(DIFFERENTIATION_UNMERGE_SYSTEM,MATCH(A86,DIFFERENTIATION_ID_DIFF,0)))</f>
        <v>Централизованная система водоснабжения Приморского городского поселения</v>
      </c>
      <c r="I88" s="2400"/>
      <c r="J88" s="2400"/>
      <c r="K88" s="2400"/>
      <c r="L88" s="2400"/>
      <c r="M88" s="2400"/>
      <c r="N88" s="2400"/>
      <c r="O88" s="2400"/>
      <c r="P88" s="2400"/>
      <c r="Q88" s="2400"/>
      <c r="R88" s="2400"/>
      <c r="S88" s="723"/>
      <c r="T88" s="720"/>
      <c r="U88" s="629"/>
      <c r="V88" s="629"/>
      <c r="W88" s="630"/>
      <c r="X88" s="630"/>
      <c r="Y88" s="630"/>
      <c r="Z88" s="630"/>
      <c r="AA88" s="631"/>
      <c r="AB88" s="632"/>
      <c r="AC88" s="2392"/>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1"/>
    </row>
    <row customHeight="1" ht="24.75" hidden="1">
      <c r="A89" s="1809"/>
      <c r="B89" s="1164"/>
      <c r="C89" s="416"/>
      <c r="D89" s="2596"/>
      <c r="E89" s="2393" t="s">
        <v>755</v>
      </c>
      <c r="F89" s="2393"/>
      <c r="G89" s="2393"/>
      <c r="H89" s="2393"/>
      <c r="I89" s="2393"/>
      <c r="J89" s="2393"/>
      <c r="K89" s="2393"/>
      <c r="L89" s="2393"/>
      <c r="M89" s="2393"/>
      <c r="N89" s="2393"/>
      <c r="O89" s="2393"/>
      <c r="P89" s="2393"/>
      <c r="Q89" s="562">
        <f>SUMIF(T90:T91,"i",Q90:Q91)</f>
        <v>0</v>
      </c>
      <c r="R89" s="1021"/>
      <c r="S89" s="1801" t="s">
        <v>756</v>
      </c>
      <c r="T89" s="721" t="s">
        <v>757</v>
      </c>
      <c r="U89" s="2391">
        <v>1</v>
      </c>
      <c r="V89" s="2391" t="str">
        <f>INDEX(B_FHD_FLAG_INDEX_1,1,MATCH(A86,B_FHD_FLAG_DIFFERENTIATION,0))</f>
        <v>отсутствует</v>
      </c>
      <c r="W89" s="1164"/>
      <c r="X89" s="1164"/>
      <c r="Y89" s="1164"/>
      <c r="Z89" s="1164"/>
      <c r="AA89" s="1640"/>
      <c r="AB89" s="1164"/>
      <c r="AC89" s="2392"/>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1"/>
    </row>
    <row customHeight="1" ht="11.25" hidden="1">
      <c r="A90" s="1796"/>
      <c r="B90" s="1640"/>
      <c r="C90" s="1640"/>
      <c r="D90" s="2596"/>
      <c r="E90" s="639"/>
      <c r="F90" s="639">
        <v>0</v>
      </c>
      <c r="G90" s="639"/>
      <c r="H90" s="639"/>
      <c r="I90" s="639"/>
      <c r="J90" s="639"/>
      <c r="K90" s="639"/>
      <c r="L90" s="639"/>
      <c r="M90" s="639"/>
      <c r="N90" s="639"/>
      <c r="O90" s="639"/>
      <c r="P90" s="639"/>
      <c r="Q90" s="639"/>
      <c r="R90" s="639"/>
      <c r="S90" s="640"/>
      <c r="T90" s="722"/>
      <c r="U90" s="2391"/>
      <c r="V90" s="2391"/>
      <c r="W90" s="1640"/>
      <c r="X90" s="1640"/>
      <c r="Y90" s="1640"/>
      <c r="Z90" s="1640"/>
      <c r="AA90" s="1640"/>
      <c r="AB90" s="1164"/>
      <c r="AC90" s="2392"/>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1"/>
    </row>
    <row customHeight="1" ht="11.25" hidden="1">
      <c r="A91" s="1809"/>
      <c r="B91" s="1164"/>
      <c r="C91" s="416"/>
      <c r="D91" s="2596"/>
      <c r="E91" s="653" t="s">
        <v>22</v>
      </c>
      <c r="F91" s="1172" t="s">
        <v>22</v>
      </c>
      <c r="G91" s="1172" t="s">
        <v>760</v>
      </c>
      <c r="H91" s="655" t="s">
        <v>22</v>
      </c>
      <c r="I91" s="655"/>
      <c r="J91" s="655"/>
      <c r="K91" s="655"/>
      <c r="L91" s="655"/>
      <c r="M91" s="655"/>
      <c r="N91" s="655"/>
      <c r="O91" s="655"/>
      <c r="P91" s="655"/>
      <c r="Q91" s="655"/>
      <c r="R91" s="656"/>
      <c r="S91" s="657"/>
      <c r="T91" s="722"/>
      <c r="U91" s="2391"/>
      <c r="V91" s="2391"/>
      <c r="W91" s="1164"/>
      <c r="X91" s="1164"/>
      <c r="Y91" s="1164"/>
      <c r="Z91" s="1164"/>
      <c r="AA91" s="1640"/>
      <c r="AB91" s="1164"/>
      <c r="AC91" s="2392"/>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1"/>
    </row>
    <row customHeight="1" ht="24.75" hidden="1">
      <c r="A92" s="1809"/>
      <c r="B92" s="1164"/>
      <c r="C92" s="416"/>
      <c r="D92" s="2596"/>
      <c r="E92" s="2393" t="s">
        <v>758</v>
      </c>
      <c r="F92" s="2393"/>
      <c r="G92" s="2393"/>
      <c r="H92" s="2393"/>
      <c r="I92" s="2393"/>
      <c r="J92" s="2393"/>
      <c r="K92" s="2393"/>
      <c r="L92" s="2393"/>
      <c r="M92" s="2393"/>
      <c r="N92" s="2393"/>
      <c r="O92" s="2393"/>
      <c r="P92" s="2393"/>
      <c r="Q92" s="562">
        <f>SUMIF(T93:T94,"i",Q93:Q94)</f>
        <v>0</v>
      </c>
      <c r="R92" s="1021"/>
      <c r="S92" s="1801" t="s">
        <v>759</v>
      </c>
      <c r="T92" s="721" t="s">
        <v>757</v>
      </c>
      <c r="U92" s="2391">
        <v>1</v>
      </c>
      <c r="V92" s="2391" t="str">
        <f>INDEX(B_FHD_FLAG_INDEX_2,1,MATCH(A86,B_FHD_FLAG_DIFFERENTIATION,0))</f>
        <v>отсутствует</v>
      </c>
      <c r="W92" s="1164"/>
      <c r="X92" s="1164"/>
      <c r="Y92" s="1164"/>
      <c r="Z92" s="1164"/>
      <c r="AA92" s="1640"/>
      <c r="AB92" s="1164"/>
      <c r="AC92" s="1799"/>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1"/>
    </row>
    <row customHeight="1" ht="11.25" hidden="1">
      <c r="A93" s="1796"/>
      <c r="B93" s="1640"/>
      <c r="C93" s="1640"/>
      <c r="D93" s="2596"/>
      <c r="E93" s="639"/>
      <c r="F93" s="639">
        <v>0</v>
      </c>
      <c r="G93" s="639"/>
      <c r="H93" s="639"/>
      <c r="I93" s="639"/>
      <c r="J93" s="639"/>
      <c r="K93" s="639"/>
      <c r="L93" s="639"/>
      <c r="M93" s="639"/>
      <c r="N93" s="639"/>
      <c r="O93" s="639"/>
      <c r="P93" s="639"/>
      <c r="Q93" s="639"/>
      <c r="R93" s="639"/>
      <c r="S93" s="640"/>
      <c r="T93" s="722"/>
      <c r="U93" s="2391"/>
      <c r="V93" s="2391"/>
      <c r="W93" s="1640"/>
      <c r="X93" s="1640"/>
      <c r="Y93" s="1640"/>
      <c r="Z93" s="1640"/>
      <c r="AA93" s="1640"/>
      <c r="AB93" s="1164"/>
      <c r="AC93" s="1799"/>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1"/>
    </row>
    <row customHeight="1" ht="11.25" hidden="1">
      <c r="A94" s="1809"/>
      <c r="B94" s="1164"/>
      <c r="C94" s="416"/>
      <c r="D94" s="2597"/>
      <c r="E94" s="653" t="s">
        <v>22</v>
      </c>
      <c r="F94" s="1172" t="s">
        <v>22</v>
      </c>
      <c r="G94" s="1172" t="s">
        <v>760</v>
      </c>
      <c r="H94" s="655" t="s">
        <v>22</v>
      </c>
      <c r="I94" s="655"/>
      <c r="J94" s="655"/>
      <c r="K94" s="655"/>
      <c r="L94" s="655"/>
      <c r="M94" s="655"/>
      <c r="N94" s="655"/>
      <c r="O94" s="655"/>
      <c r="P94" s="655"/>
      <c r="Q94" s="655"/>
      <c r="R94" s="656"/>
      <c r="S94" s="657"/>
      <c r="T94" s="722"/>
      <c r="U94" s="2391"/>
      <c r="V94" s="2391"/>
      <c r="W94" s="1164"/>
      <c r="X94" s="1164"/>
      <c r="Y94" s="1164"/>
      <c r="Z94" s="1164"/>
      <c r="AA94" s="1640"/>
      <c r="AB94" s="1164"/>
      <c r="AC94" s="1799"/>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1"/>
    </row>
    <row customHeight="1" ht="15" hidden="1">
      <c r="A95" s="627" t="s">
        <v>196</v>
      </c>
      <c r="B95" s="628"/>
      <c r="C95" s="628" t="s">
        <v>22</v>
      </c>
      <c r="D95" s="2595" t="s">
        <v>768</v>
      </c>
      <c r="E95" s="2394" t="s">
        <v>173</v>
      </c>
      <c r="F95" s="2395"/>
      <c r="G95" s="2396"/>
      <c r="H95" s="2400" t="str">
        <f>IF(A95="","",INDEX(DIFFERENTIATION_UNMERGE_VD,MATCH(A95,DIFFERENTIATION_ID_DIFF,0)))</f>
        <v>Холодное водоснабжение. Питьевая вода</v>
      </c>
      <c r="I95" s="2400"/>
      <c r="J95" s="2400"/>
      <c r="K95" s="2400"/>
      <c r="L95" s="2400"/>
      <c r="M95" s="2400"/>
      <c r="N95" s="2400"/>
      <c r="O95" s="2400"/>
      <c r="P95" s="2400"/>
      <c r="Q95" s="2400"/>
      <c r="R95" s="2400"/>
      <c r="S95" s="723"/>
      <c r="T95" s="720"/>
      <c r="U95" s="629"/>
      <c r="V95" s="629"/>
      <c r="W95" s="630"/>
      <c r="X95" s="630"/>
      <c r="Y95" s="630"/>
      <c r="Z95" s="630"/>
      <c r="AA95" s="631"/>
      <c r="AB95" s="632"/>
      <c r="AC95" s="2392"/>
      <c r="AD95" s="633"/>
      <c r="AE95" s="634" t="s">
        <v>22</v>
      </c>
      <c r="AF95" s="634"/>
      <c r="AG95" s="635" t="s">
        <v>754</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1"/>
    </row>
    <row customHeight="1" ht="15" hidden="1">
      <c r="A96" s="627"/>
      <c r="B96" s="628"/>
      <c r="C96" s="628"/>
      <c r="D96" s="2596"/>
      <c r="E96" s="2394" t="s">
        <v>702</v>
      </c>
      <c r="F96" s="2395"/>
      <c r="G96" s="2396"/>
      <c r="H96" s="2400" t="str">
        <f>IF(A95="","",INDEX(DIFFERENTIATION_UNMERGE_AREA,MATCH(A95,DIFFERENTIATION_ID_DIFF,0)))</f>
        <v>Территория 1</v>
      </c>
      <c r="I96" s="2400"/>
      <c r="J96" s="2400"/>
      <c r="K96" s="2400"/>
      <c r="L96" s="2400"/>
      <c r="M96" s="2400"/>
      <c r="N96" s="2400"/>
      <c r="O96" s="2400"/>
      <c r="P96" s="2400"/>
      <c r="Q96" s="2400"/>
      <c r="R96" s="2400"/>
      <c r="S96" s="723"/>
      <c r="T96" s="720"/>
      <c r="U96" s="629"/>
      <c r="V96" s="629"/>
      <c r="W96" s="630"/>
      <c r="X96" s="630"/>
      <c r="Y96" s="630"/>
      <c r="Z96" s="630"/>
      <c r="AA96" s="631"/>
      <c r="AB96" s="632"/>
      <c r="AC96" s="2392"/>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1"/>
    </row>
    <row customHeight="1" ht="15" hidden="1">
      <c r="A97" s="627"/>
      <c r="B97" s="628"/>
      <c r="C97" s="628"/>
      <c r="D97" s="2596"/>
      <c r="E97" s="2394" t="s">
        <v>703</v>
      </c>
      <c r="F97" s="2395"/>
      <c r="G97" s="2396"/>
      <c r="H97" s="2400" t="str">
        <f>IF(A95="","",INDEX(DIFFERENTIATION_UNMERGE_SYSTEM,MATCH(A95,DIFFERENTIATION_ID_DIFF,0)))</f>
        <v>Централизованная система водоснабжения пгт.Зарубино Хасанского муниципального округа</v>
      </c>
      <c r="I97" s="2400"/>
      <c r="J97" s="2400"/>
      <c r="K97" s="2400"/>
      <c r="L97" s="2400"/>
      <c r="M97" s="2400"/>
      <c r="N97" s="2400"/>
      <c r="O97" s="2400"/>
      <c r="P97" s="2400"/>
      <c r="Q97" s="2400"/>
      <c r="R97" s="2400"/>
      <c r="S97" s="723"/>
      <c r="T97" s="720"/>
      <c r="U97" s="629"/>
      <c r="V97" s="629"/>
      <c r="W97" s="630"/>
      <c r="X97" s="630"/>
      <c r="Y97" s="630"/>
      <c r="Z97" s="630"/>
      <c r="AA97" s="631"/>
      <c r="AB97" s="632"/>
      <c r="AC97" s="2392"/>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1"/>
    </row>
    <row customHeight="1" ht="24.75" hidden="1">
      <c r="A98" s="1809"/>
      <c r="B98" s="1164"/>
      <c r="C98" s="416"/>
      <c r="D98" s="2596"/>
      <c r="E98" s="2393" t="s">
        <v>755</v>
      </c>
      <c r="F98" s="2393"/>
      <c r="G98" s="2393"/>
      <c r="H98" s="2393"/>
      <c r="I98" s="2393"/>
      <c r="J98" s="2393"/>
      <c r="K98" s="2393"/>
      <c r="L98" s="2393"/>
      <c r="M98" s="2393"/>
      <c r="N98" s="2393"/>
      <c r="O98" s="2393"/>
      <c r="P98" s="2393"/>
      <c r="Q98" s="562">
        <f>SUMIF(T99:T100,"i",Q99:Q100)</f>
        <v>0</v>
      </c>
      <c r="R98" s="1021"/>
      <c r="S98" s="1801" t="s">
        <v>756</v>
      </c>
      <c r="T98" s="721" t="s">
        <v>757</v>
      </c>
      <c r="U98" s="2391">
        <v>1</v>
      </c>
      <c r="V98" s="2391" t="str">
        <f>INDEX(B_FHD_FLAG_INDEX_1,1,MATCH(A95,B_FHD_FLAG_DIFFERENTIATION,0))</f>
        <v>отсутствует</v>
      </c>
      <c r="W98" s="1164"/>
      <c r="X98" s="1164"/>
      <c r="Y98" s="1164"/>
      <c r="Z98" s="1164"/>
      <c r="AA98" s="1640"/>
      <c r="AB98" s="1164"/>
      <c r="AC98" s="2392"/>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1"/>
    </row>
    <row customHeight="1" ht="11.25" hidden="1">
      <c r="A99" s="1796"/>
      <c r="B99" s="1640"/>
      <c r="C99" s="1640"/>
      <c r="D99" s="2596"/>
      <c r="E99" s="639"/>
      <c r="F99" s="639">
        <v>0</v>
      </c>
      <c r="G99" s="639"/>
      <c r="H99" s="639"/>
      <c r="I99" s="639"/>
      <c r="J99" s="639"/>
      <c r="K99" s="639"/>
      <c r="L99" s="639"/>
      <c r="M99" s="639"/>
      <c r="N99" s="639"/>
      <c r="O99" s="639"/>
      <c r="P99" s="639"/>
      <c r="Q99" s="639"/>
      <c r="R99" s="639"/>
      <c r="S99" s="640"/>
      <c r="T99" s="722"/>
      <c r="U99" s="2391"/>
      <c r="V99" s="2391"/>
      <c r="W99" s="1640"/>
      <c r="X99" s="1640"/>
      <c r="Y99" s="1640"/>
      <c r="Z99" s="1640"/>
      <c r="AA99" s="1640"/>
      <c r="AB99" s="1164"/>
      <c r="AC99" s="2392"/>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1"/>
    </row>
    <row customHeight="1" ht="11.25" hidden="1">
      <c r="A100" s="1809"/>
      <c r="B100" s="1164"/>
      <c r="C100" s="416"/>
      <c r="D100" s="2596"/>
      <c r="E100" s="653" t="s">
        <v>22</v>
      </c>
      <c r="F100" s="1172" t="s">
        <v>22</v>
      </c>
      <c r="G100" s="1172" t="s">
        <v>760</v>
      </c>
      <c r="H100" s="655" t="s">
        <v>22</v>
      </c>
      <c r="I100" s="655"/>
      <c r="J100" s="655"/>
      <c r="K100" s="655"/>
      <c r="L100" s="655"/>
      <c r="M100" s="655"/>
      <c r="N100" s="655"/>
      <c r="O100" s="655"/>
      <c r="P100" s="655"/>
      <c r="Q100" s="655"/>
      <c r="R100" s="656"/>
      <c r="S100" s="657"/>
      <c r="T100" s="722"/>
      <c r="U100" s="2391"/>
      <c r="V100" s="2391"/>
      <c r="W100" s="1164"/>
      <c r="X100" s="1164"/>
      <c r="Y100" s="1164"/>
      <c r="Z100" s="1164"/>
      <c r="AA100" s="1640"/>
      <c r="AB100" s="1164"/>
      <c r="AC100" s="2392"/>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1"/>
    </row>
    <row customHeight="1" ht="24.75" hidden="1">
      <c r="A101" s="1809"/>
      <c r="B101" s="1164"/>
      <c r="C101" s="416"/>
      <c r="D101" s="2596"/>
      <c r="E101" s="2393" t="s">
        <v>758</v>
      </c>
      <c r="F101" s="2393"/>
      <c r="G101" s="2393"/>
      <c r="H101" s="2393"/>
      <c r="I101" s="2393"/>
      <c r="J101" s="2393"/>
      <c r="K101" s="2393"/>
      <c r="L101" s="2393"/>
      <c r="M101" s="2393"/>
      <c r="N101" s="2393"/>
      <c r="O101" s="2393"/>
      <c r="P101" s="2393"/>
      <c r="Q101" s="562">
        <f>SUMIF(T102:T103,"i",Q102:Q103)</f>
        <v>0</v>
      </c>
      <c r="R101" s="1021"/>
      <c r="S101" s="1801" t="s">
        <v>759</v>
      </c>
      <c r="T101" s="721" t="s">
        <v>757</v>
      </c>
      <c r="U101" s="2391">
        <v>1</v>
      </c>
      <c r="V101" s="2391" t="str">
        <f>INDEX(B_FHD_FLAG_INDEX_2,1,MATCH(A95,B_FHD_FLAG_DIFFERENTIATION,0))</f>
        <v>отсутствует</v>
      </c>
      <c r="W101" s="1164"/>
      <c r="X101" s="1164"/>
      <c r="Y101" s="1164"/>
      <c r="Z101" s="1164"/>
      <c r="AA101" s="1640"/>
      <c r="AB101" s="1164"/>
      <c r="AC101" s="1799"/>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1"/>
    </row>
    <row customHeight="1" ht="11.25" hidden="1">
      <c r="A102" s="1796"/>
      <c r="B102" s="1640"/>
      <c r="C102" s="1640"/>
      <c r="D102" s="2596"/>
      <c r="E102" s="639"/>
      <c r="F102" s="639">
        <v>0</v>
      </c>
      <c r="G102" s="639"/>
      <c r="H102" s="639"/>
      <c r="I102" s="639"/>
      <c r="J102" s="639"/>
      <c r="K102" s="639"/>
      <c r="L102" s="639"/>
      <c r="M102" s="639"/>
      <c r="N102" s="639"/>
      <c r="O102" s="639"/>
      <c r="P102" s="639"/>
      <c r="Q102" s="639"/>
      <c r="R102" s="639"/>
      <c r="S102" s="640"/>
      <c r="T102" s="722"/>
      <c r="U102" s="2391"/>
      <c r="V102" s="2391"/>
      <c r="W102" s="1640"/>
      <c r="X102" s="1640"/>
      <c r="Y102" s="1640"/>
      <c r="Z102" s="1640"/>
      <c r="AA102" s="1640"/>
      <c r="AB102" s="1164"/>
      <c r="AC102" s="1799"/>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1"/>
    </row>
    <row customHeight="1" ht="11.25" hidden="1">
      <c r="A103" s="1809"/>
      <c r="B103" s="1164"/>
      <c r="C103" s="416"/>
      <c r="D103" s="2597"/>
      <c r="E103" s="653" t="s">
        <v>22</v>
      </c>
      <c r="F103" s="1172" t="s">
        <v>22</v>
      </c>
      <c r="G103" s="1172" t="s">
        <v>760</v>
      </c>
      <c r="H103" s="655" t="s">
        <v>22</v>
      </c>
      <c r="I103" s="655"/>
      <c r="J103" s="655"/>
      <c r="K103" s="655"/>
      <c r="L103" s="655"/>
      <c r="M103" s="655"/>
      <c r="N103" s="655"/>
      <c r="O103" s="655"/>
      <c r="P103" s="655"/>
      <c r="Q103" s="655"/>
      <c r="R103" s="656"/>
      <c r="S103" s="657"/>
      <c r="T103" s="722"/>
      <c r="U103" s="2391"/>
      <c r="V103" s="2391"/>
      <c r="W103" s="1164"/>
      <c r="X103" s="1164"/>
      <c r="Y103" s="1164"/>
      <c r="Z103" s="1164"/>
      <c r="AA103" s="1640"/>
      <c r="AB103" s="1164"/>
      <c r="AC103" s="1799"/>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1"/>
    </row>
    <row customHeight="1" ht="15" hidden="1">
      <c r="A104" s="627" t="s">
        <v>198</v>
      </c>
      <c r="B104" s="628"/>
      <c r="C104" s="628" t="s">
        <v>22</v>
      </c>
      <c r="D104" s="2595" t="s">
        <v>769</v>
      </c>
      <c r="E104" s="2394" t="s">
        <v>173</v>
      </c>
      <c r="F104" s="2395"/>
      <c r="G104" s="2396"/>
      <c r="H104" s="2400" t="str">
        <f>IF(A104="","",INDEX(DIFFERENTIATION_UNMERGE_VD,MATCH(A104,DIFFERENTIATION_ID_DIFF,0)))</f>
        <v>Холодное водоснабжение. Питьевая вода</v>
      </c>
      <c r="I104" s="2400"/>
      <c r="J104" s="2400"/>
      <c r="K104" s="2400"/>
      <c r="L104" s="2400"/>
      <c r="M104" s="2400"/>
      <c r="N104" s="2400"/>
      <c r="O104" s="2400"/>
      <c r="P104" s="2400"/>
      <c r="Q104" s="2400"/>
      <c r="R104" s="2400"/>
      <c r="S104" s="723"/>
      <c r="T104" s="720"/>
      <c r="U104" s="629"/>
      <c r="V104" s="629"/>
      <c r="W104" s="630"/>
      <c r="X104" s="630"/>
      <c r="Y104" s="630"/>
      <c r="Z104" s="630"/>
      <c r="AA104" s="631"/>
      <c r="AB104" s="632"/>
      <c r="AC104" s="2392"/>
      <c r="AD104" s="633"/>
      <c r="AE104" s="634" t="s">
        <v>22</v>
      </c>
      <c r="AF104" s="634"/>
      <c r="AG104" s="635" t="s">
        <v>754</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1"/>
    </row>
    <row customHeight="1" ht="15" hidden="1">
      <c r="A105" s="627"/>
      <c r="B105" s="628"/>
      <c r="C105" s="628"/>
      <c r="D105" s="2596"/>
      <c r="E105" s="2394" t="s">
        <v>702</v>
      </c>
      <c r="F105" s="2395"/>
      <c r="G105" s="2396"/>
      <c r="H105" s="2400" t="str">
        <f>IF(A104="","",INDEX(DIFFERENTIATION_UNMERGE_AREA,MATCH(A104,DIFFERENTIATION_ID_DIFF,0)))</f>
        <v>Территория 1</v>
      </c>
      <c r="I105" s="2400"/>
      <c r="J105" s="2400"/>
      <c r="K105" s="2400"/>
      <c r="L105" s="2400"/>
      <c r="M105" s="2400"/>
      <c r="N105" s="2400"/>
      <c r="O105" s="2400"/>
      <c r="P105" s="2400"/>
      <c r="Q105" s="2400"/>
      <c r="R105" s="2400"/>
      <c r="S105" s="723"/>
      <c r="T105" s="720"/>
      <c r="U105" s="629"/>
      <c r="V105" s="629"/>
      <c r="W105" s="630"/>
      <c r="X105" s="630"/>
      <c r="Y105" s="630"/>
      <c r="Z105" s="630"/>
      <c r="AA105" s="631"/>
      <c r="AB105" s="632"/>
      <c r="AC105" s="2392"/>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1"/>
    </row>
    <row customHeight="1" ht="15" hidden="1">
      <c r="A106" s="627"/>
      <c r="B106" s="628"/>
      <c r="C106" s="628"/>
      <c r="D106" s="2596"/>
      <c r="E106" s="2394" t="s">
        <v>703</v>
      </c>
      <c r="F106" s="2395"/>
      <c r="G106" s="2396"/>
      <c r="H106" s="2400" t="str">
        <f>IF(A104="","",INDEX(DIFFERENTIATION_UNMERGE_SYSTEM,MATCH(A104,DIFFERENTIATION_ID_DIFF,0)))</f>
        <v>Централизованная система водоснабжения пгт. Хасан Хасанского муниципального округа</v>
      </c>
      <c r="I106" s="2400"/>
      <c r="J106" s="2400"/>
      <c r="K106" s="2400"/>
      <c r="L106" s="2400"/>
      <c r="M106" s="2400"/>
      <c r="N106" s="2400"/>
      <c r="O106" s="2400"/>
      <c r="P106" s="2400"/>
      <c r="Q106" s="2400"/>
      <c r="R106" s="2400"/>
      <c r="S106" s="723"/>
      <c r="T106" s="720"/>
      <c r="U106" s="629"/>
      <c r="V106" s="629"/>
      <c r="W106" s="630"/>
      <c r="X106" s="630"/>
      <c r="Y106" s="630"/>
      <c r="Z106" s="630"/>
      <c r="AA106" s="631"/>
      <c r="AB106" s="632"/>
      <c r="AC106" s="2392"/>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1"/>
    </row>
    <row customHeight="1" ht="24.75" hidden="1">
      <c r="A107" s="1809"/>
      <c r="B107" s="1164"/>
      <c r="C107" s="416"/>
      <c r="D107" s="2596"/>
      <c r="E107" s="2393" t="s">
        <v>755</v>
      </c>
      <c r="F107" s="2393"/>
      <c r="G107" s="2393"/>
      <c r="H107" s="2393"/>
      <c r="I107" s="2393"/>
      <c r="J107" s="2393"/>
      <c r="K107" s="2393"/>
      <c r="L107" s="2393"/>
      <c r="M107" s="2393"/>
      <c r="N107" s="2393"/>
      <c r="O107" s="2393"/>
      <c r="P107" s="2393"/>
      <c r="Q107" s="562">
        <f>SUMIF(T108:T109,"i",Q108:Q109)</f>
        <v>0</v>
      </c>
      <c r="R107" s="1021"/>
      <c r="S107" s="1801" t="s">
        <v>756</v>
      </c>
      <c r="T107" s="721" t="s">
        <v>757</v>
      </c>
      <c r="U107" s="2391">
        <v>1</v>
      </c>
      <c r="V107" s="2391" t="str">
        <f>INDEX(B_FHD_FLAG_INDEX_1,1,MATCH(A104,B_FHD_FLAG_DIFFERENTIATION,0))</f>
        <v>отсутствует</v>
      </c>
      <c r="W107" s="1164"/>
      <c r="X107" s="1164"/>
      <c r="Y107" s="1164"/>
      <c r="Z107" s="1164"/>
      <c r="AA107" s="1640"/>
      <c r="AB107" s="1164"/>
      <c r="AC107" s="2392"/>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1"/>
    </row>
    <row customHeight="1" ht="11.25" hidden="1">
      <c r="A108" s="1796"/>
      <c r="B108" s="1640"/>
      <c r="C108" s="1640"/>
      <c r="D108" s="2596"/>
      <c r="E108" s="639"/>
      <c r="F108" s="639">
        <v>0</v>
      </c>
      <c r="G108" s="639"/>
      <c r="H108" s="639"/>
      <c r="I108" s="639"/>
      <c r="J108" s="639"/>
      <c r="K108" s="639"/>
      <c r="L108" s="639"/>
      <c r="M108" s="639"/>
      <c r="N108" s="639"/>
      <c r="O108" s="639"/>
      <c r="P108" s="639"/>
      <c r="Q108" s="639"/>
      <c r="R108" s="639"/>
      <c r="S108" s="640"/>
      <c r="T108" s="722"/>
      <c r="U108" s="2391"/>
      <c r="V108" s="2391"/>
      <c r="W108" s="1640"/>
      <c r="X108" s="1640"/>
      <c r="Y108" s="1640"/>
      <c r="Z108" s="1640"/>
      <c r="AA108" s="1640"/>
      <c r="AB108" s="1164"/>
      <c r="AC108" s="2392"/>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1"/>
    </row>
    <row customHeight="1" ht="11.25" hidden="1">
      <c r="A109" s="1809"/>
      <c r="B109" s="1164"/>
      <c r="C109" s="416"/>
      <c r="D109" s="2596"/>
      <c r="E109" s="653" t="s">
        <v>22</v>
      </c>
      <c r="F109" s="1172" t="s">
        <v>22</v>
      </c>
      <c r="G109" s="1172" t="s">
        <v>760</v>
      </c>
      <c r="H109" s="655" t="s">
        <v>22</v>
      </c>
      <c r="I109" s="655"/>
      <c r="J109" s="655"/>
      <c r="K109" s="655"/>
      <c r="L109" s="655"/>
      <c r="M109" s="655"/>
      <c r="N109" s="655"/>
      <c r="O109" s="655"/>
      <c r="P109" s="655"/>
      <c r="Q109" s="655"/>
      <c r="R109" s="656"/>
      <c r="S109" s="657"/>
      <c r="T109" s="722"/>
      <c r="U109" s="2391"/>
      <c r="V109" s="2391"/>
      <c r="W109" s="1164"/>
      <c r="X109" s="1164"/>
      <c r="Y109" s="1164"/>
      <c r="Z109" s="1164"/>
      <c r="AA109" s="1640"/>
      <c r="AB109" s="1164"/>
      <c r="AC109" s="2392"/>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1"/>
    </row>
    <row customHeight="1" ht="24.75" hidden="1">
      <c r="A110" s="1809"/>
      <c r="B110" s="1164"/>
      <c r="C110" s="416"/>
      <c r="D110" s="2596"/>
      <c r="E110" s="2393" t="s">
        <v>758</v>
      </c>
      <c r="F110" s="2393"/>
      <c r="G110" s="2393"/>
      <c r="H110" s="2393"/>
      <c r="I110" s="2393"/>
      <c r="J110" s="2393"/>
      <c r="K110" s="2393"/>
      <c r="L110" s="2393"/>
      <c r="M110" s="2393"/>
      <c r="N110" s="2393"/>
      <c r="O110" s="2393"/>
      <c r="P110" s="2393"/>
      <c r="Q110" s="562">
        <f>SUMIF(T111:T112,"i",Q111:Q112)</f>
        <v>0</v>
      </c>
      <c r="R110" s="1021"/>
      <c r="S110" s="1801" t="s">
        <v>759</v>
      </c>
      <c r="T110" s="721" t="s">
        <v>757</v>
      </c>
      <c r="U110" s="2391">
        <v>1</v>
      </c>
      <c r="V110" s="2391" t="str">
        <f>INDEX(B_FHD_FLAG_INDEX_2,1,MATCH(A104,B_FHD_FLAG_DIFFERENTIATION,0))</f>
        <v>отсутствует</v>
      </c>
      <c r="W110" s="1164"/>
      <c r="X110" s="1164"/>
      <c r="Y110" s="1164"/>
      <c r="Z110" s="1164"/>
      <c r="AA110" s="1640"/>
      <c r="AB110" s="1164"/>
      <c r="AC110" s="1799"/>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1"/>
    </row>
    <row customHeight="1" ht="11.25" hidden="1">
      <c r="A111" s="1796"/>
      <c r="B111" s="1640"/>
      <c r="C111" s="1640"/>
      <c r="D111" s="2596"/>
      <c r="E111" s="639"/>
      <c r="F111" s="639">
        <v>0</v>
      </c>
      <c r="G111" s="639"/>
      <c r="H111" s="639"/>
      <c r="I111" s="639"/>
      <c r="J111" s="639"/>
      <c r="K111" s="639"/>
      <c r="L111" s="639"/>
      <c r="M111" s="639"/>
      <c r="N111" s="639"/>
      <c r="O111" s="639"/>
      <c r="P111" s="639"/>
      <c r="Q111" s="639"/>
      <c r="R111" s="639"/>
      <c r="S111" s="640"/>
      <c r="T111" s="722"/>
      <c r="U111" s="2391"/>
      <c r="V111" s="2391"/>
      <c r="W111" s="1640"/>
      <c r="X111" s="1640"/>
      <c r="Y111" s="1640"/>
      <c r="Z111" s="1640"/>
      <c r="AA111" s="1640"/>
      <c r="AB111" s="1164"/>
      <c r="AC111" s="1799"/>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1"/>
    </row>
    <row customHeight="1" ht="11.25" hidden="1">
      <c r="A112" s="1809"/>
      <c r="B112" s="1164"/>
      <c r="C112" s="416"/>
      <c r="D112" s="2597"/>
      <c r="E112" s="653" t="s">
        <v>22</v>
      </c>
      <c r="F112" s="1172" t="s">
        <v>22</v>
      </c>
      <c r="G112" s="1172" t="s">
        <v>760</v>
      </c>
      <c r="H112" s="655" t="s">
        <v>22</v>
      </c>
      <c r="I112" s="655"/>
      <c r="J112" s="655"/>
      <c r="K112" s="655"/>
      <c r="L112" s="655"/>
      <c r="M112" s="655"/>
      <c r="N112" s="655"/>
      <c r="O112" s="655"/>
      <c r="P112" s="655"/>
      <c r="Q112" s="655"/>
      <c r="R112" s="656"/>
      <c r="S112" s="657"/>
      <c r="T112" s="722"/>
      <c r="U112" s="2391"/>
      <c r="V112" s="2391"/>
      <c r="W112" s="1164"/>
      <c r="X112" s="1164"/>
      <c r="Y112" s="1164"/>
      <c r="Z112" s="1164"/>
      <c r="AA112" s="1640"/>
      <c r="AB112" s="1164"/>
      <c r="AC112" s="1799"/>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1"/>
    </row>
    <row customHeight="1" ht="15" hidden="1">
      <c r="A113" s="627" t="s">
        <v>201</v>
      </c>
      <c r="B113" s="628"/>
      <c r="C113" s="628" t="s">
        <v>22</v>
      </c>
      <c r="D113" s="2595" t="s">
        <v>770</v>
      </c>
      <c r="E113" s="2394" t="s">
        <v>173</v>
      </c>
      <c r="F113" s="2395"/>
      <c r="G113" s="2396"/>
      <c r="H113" s="2400" t="str">
        <f>IF(A113="","",INDEX(DIFFERENTIATION_UNMERGE_VD,MATCH(A113,DIFFERENTIATION_ID_DIFF,0)))</f>
        <v>Холодное водоснабжение. Питьевая вода</v>
      </c>
      <c r="I113" s="2400"/>
      <c r="J113" s="2400"/>
      <c r="K113" s="2400"/>
      <c r="L113" s="2400"/>
      <c r="M113" s="2400"/>
      <c r="N113" s="2400"/>
      <c r="O113" s="2400"/>
      <c r="P113" s="2400"/>
      <c r="Q113" s="2400"/>
      <c r="R113" s="2400"/>
      <c r="S113" s="723"/>
      <c r="T113" s="720"/>
      <c r="U113" s="629"/>
      <c r="V113" s="629"/>
      <c r="W113" s="630"/>
      <c r="X113" s="630"/>
      <c r="Y113" s="630"/>
      <c r="Z113" s="630"/>
      <c r="AA113" s="631"/>
      <c r="AB113" s="632"/>
      <c r="AC113" s="2392"/>
      <c r="AD113" s="633"/>
      <c r="AE113" s="634" t="s">
        <v>22</v>
      </c>
      <c r="AF113" s="634"/>
      <c r="AG113" s="635" t="s">
        <v>754</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1"/>
    </row>
    <row customHeight="1" ht="15" hidden="1">
      <c r="A114" s="627"/>
      <c r="B114" s="628"/>
      <c r="C114" s="628"/>
      <c r="D114" s="2596"/>
      <c r="E114" s="2394" t="s">
        <v>702</v>
      </c>
      <c r="F114" s="2395"/>
      <c r="G114" s="2396"/>
      <c r="H114" s="2400" t="str">
        <f>IF(A113="","",INDEX(DIFFERENTIATION_UNMERGE_AREA,MATCH(A113,DIFFERENTIATION_ID_DIFF,0)))</f>
        <v>Территория 2</v>
      </c>
      <c r="I114" s="2400"/>
      <c r="J114" s="2400"/>
      <c r="K114" s="2400"/>
      <c r="L114" s="2400"/>
      <c r="M114" s="2400"/>
      <c r="N114" s="2400"/>
      <c r="O114" s="2400"/>
      <c r="P114" s="2400"/>
      <c r="Q114" s="2400"/>
      <c r="R114" s="2400"/>
      <c r="S114" s="723"/>
      <c r="T114" s="720"/>
      <c r="U114" s="629"/>
      <c r="V114" s="629"/>
      <c r="W114" s="630"/>
      <c r="X114" s="630"/>
      <c r="Y114" s="630"/>
      <c r="Z114" s="630"/>
      <c r="AA114" s="631"/>
      <c r="AB114" s="632"/>
      <c r="AC114" s="2392"/>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1"/>
    </row>
    <row customHeight="1" ht="15" hidden="1">
      <c r="A115" s="627"/>
      <c r="B115" s="628"/>
      <c r="C115" s="628"/>
      <c r="D115" s="2596"/>
      <c r="E115" s="2394" t="s">
        <v>703</v>
      </c>
      <c r="F115" s="2395"/>
      <c r="G115" s="2396"/>
      <c r="H115" s="2400" t="str">
        <f>IF(A113="","",INDEX(DIFFERENTIATION_UNMERGE_SYSTEM,MATCH(A113,DIFFERENTIATION_ID_DIFF,0)))</f>
        <v>Централизованная система водоснабжения Анучинского сельского поселения</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1"/>
    </row>
    <row customHeight="1" ht="24.75" hidden="1">
      <c r="A116" s="1809"/>
      <c r="B116" s="1164"/>
      <c r="C116" s="416"/>
      <c r="D116" s="2596"/>
      <c r="E116" s="2393" t="s">
        <v>755</v>
      </c>
      <c r="F116" s="2393"/>
      <c r="G116" s="2393"/>
      <c r="H116" s="2393"/>
      <c r="I116" s="2393"/>
      <c r="J116" s="2393"/>
      <c r="K116" s="2393"/>
      <c r="L116" s="2393"/>
      <c r="M116" s="2393"/>
      <c r="N116" s="2393"/>
      <c r="O116" s="2393"/>
      <c r="P116" s="2393"/>
      <c r="Q116" s="562">
        <f>SUMIF(T117:T118,"i",Q117:Q118)</f>
        <v>0</v>
      </c>
      <c r="R116" s="1021"/>
      <c r="S116" s="1801" t="s">
        <v>756</v>
      </c>
      <c r="T116" s="721" t="s">
        <v>757</v>
      </c>
      <c r="U116" s="2391">
        <v>1</v>
      </c>
      <c r="V116" s="2391" t="str">
        <f>INDEX(B_FHD_FLAG_INDEX_1,1,MATCH(A113,B_FHD_FLAG_DIFFERENTIATION,0))</f>
        <v>отсутствует</v>
      </c>
      <c r="W116" s="1164"/>
      <c r="X116" s="1164"/>
      <c r="Y116" s="1164"/>
      <c r="Z116" s="1164"/>
      <c r="AA116" s="1640"/>
      <c r="AB116" s="1164"/>
      <c r="AC116" s="2392"/>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1"/>
    </row>
    <row customHeight="1" ht="11.25" hidden="1">
      <c r="A117" s="1796"/>
      <c r="B117" s="1640"/>
      <c r="C117" s="1640"/>
      <c r="D117" s="2596"/>
      <c r="E117" s="639"/>
      <c r="F117" s="639">
        <v>0</v>
      </c>
      <c r="G117" s="639"/>
      <c r="H117" s="639"/>
      <c r="I117" s="639"/>
      <c r="J117" s="639"/>
      <c r="K117" s="639"/>
      <c r="L117" s="639"/>
      <c r="M117" s="639"/>
      <c r="N117" s="639"/>
      <c r="O117" s="639"/>
      <c r="P117" s="639"/>
      <c r="Q117" s="639"/>
      <c r="R117" s="639"/>
      <c r="S117" s="640"/>
      <c r="T117" s="722"/>
      <c r="U117" s="2391"/>
      <c r="V117" s="2391"/>
      <c r="W117" s="1640"/>
      <c r="X117" s="1640"/>
      <c r="Y117" s="1640"/>
      <c r="Z117" s="1640"/>
      <c r="AA117" s="1640"/>
      <c r="AB117" s="1164"/>
      <c r="AC117" s="2392"/>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1"/>
    </row>
    <row customHeight="1" ht="11.25" hidden="1">
      <c r="A118" s="1809"/>
      <c r="B118" s="1164"/>
      <c r="C118" s="416"/>
      <c r="D118" s="2596"/>
      <c r="E118" s="653" t="s">
        <v>22</v>
      </c>
      <c r="F118" s="1172" t="s">
        <v>22</v>
      </c>
      <c r="G118" s="1172" t="s">
        <v>760</v>
      </c>
      <c r="H118" s="655" t="s">
        <v>22</v>
      </c>
      <c r="I118" s="655"/>
      <c r="J118" s="655"/>
      <c r="K118" s="655"/>
      <c r="L118" s="655"/>
      <c r="M118" s="655"/>
      <c r="N118" s="655"/>
      <c r="O118" s="655"/>
      <c r="P118" s="655"/>
      <c r="Q118" s="655"/>
      <c r="R118" s="656"/>
      <c r="S118" s="657"/>
      <c r="T118" s="722"/>
      <c r="U118" s="2391"/>
      <c r="V118" s="2391"/>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1"/>
    </row>
    <row customHeight="1" ht="24.75" hidden="1">
      <c r="A119" s="1809"/>
      <c r="B119" s="1164"/>
      <c r="C119" s="416"/>
      <c r="D119" s="2596"/>
      <c r="E119" s="2393" t="s">
        <v>758</v>
      </c>
      <c r="F119" s="2393"/>
      <c r="G119" s="2393"/>
      <c r="H119" s="2393"/>
      <c r="I119" s="2393"/>
      <c r="J119" s="2393"/>
      <c r="K119" s="2393"/>
      <c r="L119" s="2393"/>
      <c r="M119" s="2393"/>
      <c r="N119" s="2393"/>
      <c r="O119" s="2393"/>
      <c r="P119" s="2393"/>
      <c r="Q119" s="562">
        <f>SUMIF(T120:T121,"i",Q120:Q121)</f>
        <v>0</v>
      </c>
      <c r="R119" s="1021"/>
      <c r="S119" s="1801" t="s">
        <v>759</v>
      </c>
      <c r="T119" s="721" t="s">
        <v>757</v>
      </c>
      <c r="U119" s="2391">
        <v>1</v>
      </c>
      <c r="V119" s="2391" t="str">
        <f>INDEX(B_FHD_FLAG_INDEX_2,1,MATCH(A113,B_FHD_FLAG_DIFFERENTIATION,0))</f>
        <v>отсутствует</v>
      </c>
      <c r="W119" s="1164"/>
      <c r="X119" s="1164"/>
      <c r="Y119" s="1164"/>
      <c r="Z119" s="1164"/>
      <c r="AA119" s="1640"/>
      <c r="AB119" s="1164"/>
      <c r="AC119" s="179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1"/>
    </row>
    <row customHeight="1" ht="11.25" hidden="1">
      <c r="A120" s="1796"/>
      <c r="B120" s="1640"/>
      <c r="C120" s="1640"/>
      <c r="D120" s="2596"/>
      <c r="E120" s="639"/>
      <c r="F120" s="639">
        <v>0</v>
      </c>
      <c r="G120" s="639"/>
      <c r="H120" s="639"/>
      <c r="I120" s="639"/>
      <c r="J120" s="639"/>
      <c r="K120" s="639"/>
      <c r="L120" s="639"/>
      <c r="M120" s="639"/>
      <c r="N120" s="639"/>
      <c r="O120" s="639"/>
      <c r="P120" s="639"/>
      <c r="Q120" s="639"/>
      <c r="R120" s="639"/>
      <c r="S120" s="640"/>
      <c r="T120" s="722"/>
      <c r="U120" s="2391"/>
      <c r="V120" s="2391"/>
      <c r="W120" s="1640"/>
      <c r="X120" s="1640"/>
      <c r="Y120" s="1640"/>
      <c r="Z120" s="1640"/>
      <c r="AA120" s="1640"/>
      <c r="AB120" s="1164"/>
      <c r="AC120" s="179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1"/>
    </row>
    <row customHeight="1" ht="11.25" hidden="1">
      <c r="A121" s="1809"/>
      <c r="B121" s="1164"/>
      <c r="C121" s="416"/>
      <c r="D121" s="2597"/>
      <c r="E121" s="653" t="s">
        <v>22</v>
      </c>
      <c r="F121" s="1172" t="s">
        <v>22</v>
      </c>
      <c r="G121" s="1172" t="s">
        <v>760</v>
      </c>
      <c r="H121" s="655" t="s">
        <v>22</v>
      </c>
      <c r="I121" s="655"/>
      <c r="J121" s="655"/>
      <c r="K121" s="655"/>
      <c r="L121" s="655"/>
      <c r="M121" s="655"/>
      <c r="N121" s="655"/>
      <c r="O121" s="655"/>
      <c r="P121" s="655"/>
      <c r="Q121" s="655"/>
      <c r="R121" s="656"/>
      <c r="S121" s="657"/>
      <c r="T121" s="722"/>
      <c r="U121" s="2391"/>
      <c r="V121" s="2391"/>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1"/>
    </row>
    <row customHeight="1" ht="15" hidden="1">
      <c r="A122" s="627" t="s">
        <v>203</v>
      </c>
      <c r="B122" s="628"/>
      <c r="C122" s="628" t="s">
        <v>22</v>
      </c>
      <c r="D122" s="2595" t="s">
        <v>771</v>
      </c>
      <c r="E122" s="2394" t="s">
        <v>173</v>
      </c>
      <c r="F122" s="2395"/>
      <c r="G122" s="2396"/>
      <c r="H122" s="2400" t="str">
        <f>IF(A122="","",INDEX(DIFFERENTIATION_UNMERGE_VD,MATCH(A122,DIFFERENTIATION_ID_DIFF,0)))</f>
        <v>Холодное водоснабжение. Питьевая вода</v>
      </c>
      <c r="I122" s="2400"/>
      <c r="J122" s="2400"/>
      <c r="K122" s="2400"/>
      <c r="L122" s="2400"/>
      <c r="M122" s="2400"/>
      <c r="N122" s="2400"/>
      <c r="O122" s="2400"/>
      <c r="P122" s="2400"/>
      <c r="Q122" s="2400"/>
      <c r="R122" s="2400"/>
      <c r="S122" s="723"/>
      <c r="T122" s="720"/>
      <c r="U122" s="629"/>
      <c r="V122" s="629"/>
      <c r="W122" s="630"/>
      <c r="X122" s="630"/>
      <c r="Y122" s="630"/>
      <c r="Z122" s="630"/>
      <c r="AA122" s="631"/>
      <c r="AB122" s="632"/>
      <c r="AC122" s="2392"/>
      <c r="AD122" s="633"/>
      <c r="AE122" s="634" t="s">
        <v>22</v>
      </c>
      <c r="AF122" s="634"/>
      <c r="AG122" s="635" t="s">
        <v>754</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1"/>
    </row>
    <row customHeight="1" ht="15" hidden="1">
      <c r="A123" s="627"/>
      <c r="B123" s="628"/>
      <c r="C123" s="628"/>
      <c r="D123" s="2596"/>
      <c r="E123" s="2394" t="s">
        <v>702</v>
      </c>
      <c r="F123" s="2395"/>
      <c r="G123" s="2396"/>
      <c r="H123" s="2400" t="str">
        <f>IF(A122="","",INDEX(DIFFERENTIATION_UNMERGE_AREA,MATCH(A122,DIFFERENTIATION_ID_DIFF,0)))</f>
        <v>Территория 3</v>
      </c>
      <c r="I123" s="2400"/>
      <c r="J123" s="2400"/>
      <c r="K123" s="2400"/>
      <c r="L123" s="2400"/>
      <c r="M123" s="2400"/>
      <c r="N123" s="2400"/>
      <c r="O123" s="2400"/>
      <c r="P123" s="2400"/>
      <c r="Q123" s="2400"/>
      <c r="R123" s="2400"/>
      <c r="S123" s="723"/>
      <c r="T123" s="720"/>
      <c r="U123" s="629"/>
      <c r="V123" s="629"/>
      <c r="W123" s="630"/>
      <c r="X123" s="630"/>
      <c r="Y123" s="630"/>
      <c r="Z123" s="630"/>
      <c r="AA123" s="631"/>
      <c r="AB123" s="632"/>
      <c r="AC123" s="2392"/>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1"/>
    </row>
    <row customHeight="1" ht="15" hidden="1">
      <c r="A124" s="627"/>
      <c r="B124" s="628"/>
      <c r="C124" s="628"/>
      <c r="D124" s="2596"/>
      <c r="E124" s="2394" t="s">
        <v>703</v>
      </c>
      <c r="F124" s="2395"/>
      <c r="G124" s="2396"/>
      <c r="H124" s="2400" t="str">
        <f>IF(A122="","",INDEX(DIFFERENTIATION_UNMERGE_SYSTEM,MATCH(A122,DIFFERENTIATION_ID_DIFF,0)))</f>
        <v>Централизованная система водоснабжения Романовского сельского поселения</v>
      </c>
      <c r="I124" s="2400"/>
      <c r="J124" s="2400"/>
      <c r="K124" s="2400"/>
      <c r="L124" s="2400"/>
      <c r="M124" s="2400"/>
      <c r="N124" s="2400"/>
      <c r="O124" s="2400"/>
      <c r="P124" s="2400"/>
      <c r="Q124" s="2400"/>
      <c r="R124" s="2400"/>
      <c r="S124" s="723"/>
      <c r="T124" s="720"/>
      <c r="U124" s="629"/>
      <c r="V124" s="629"/>
      <c r="W124" s="630"/>
      <c r="X124" s="630"/>
      <c r="Y124" s="630"/>
      <c r="Z124" s="630"/>
      <c r="AA124" s="631"/>
      <c r="AB124" s="632"/>
      <c r="AC124" s="2392"/>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1"/>
    </row>
    <row customHeight="1" ht="24.75" hidden="1">
      <c r="A125" s="1809"/>
      <c r="B125" s="1164"/>
      <c r="C125" s="416"/>
      <c r="D125" s="2596"/>
      <c r="E125" s="2393" t="s">
        <v>755</v>
      </c>
      <c r="F125" s="2393"/>
      <c r="G125" s="2393"/>
      <c r="H125" s="2393"/>
      <c r="I125" s="2393"/>
      <c r="J125" s="2393"/>
      <c r="K125" s="2393"/>
      <c r="L125" s="2393"/>
      <c r="M125" s="2393"/>
      <c r="N125" s="2393"/>
      <c r="O125" s="2393"/>
      <c r="P125" s="2393"/>
      <c r="Q125" s="562">
        <f>SUMIF(T126:T127,"i",Q126:Q127)</f>
        <v>0</v>
      </c>
      <c r="R125" s="1021"/>
      <c r="S125" s="1801" t="s">
        <v>756</v>
      </c>
      <c r="T125" s="721" t="s">
        <v>757</v>
      </c>
      <c r="U125" s="2391">
        <v>1</v>
      </c>
      <c r="V125" s="2391" t="str">
        <f>INDEX(B_FHD_FLAG_INDEX_1,1,MATCH(A122,B_FHD_FLAG_DIFFERENTIATION,0))</f>
        <v>отсутствует</v>
      </c>
      <c r="W125" s="1164"/>
      <c r="X125" s="1164"/>
      <c r="Y125" s="1164"/>
      <c r="Z125" s="1164"/>
      <c r="AA125" s="1640"/>
      <c r="AB125" s="1164"/>
      <c r="AC125" s="2392"/>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1"/>
    </row>
    <row customHeight="1" ht="11.25" hidden="1">
      <c r="A126" s="1796"/>
      <c r="B126" s="1640"/>
      <c r="C126" s="1640"/>
      <c r="D126" s="2596"/>
      <c r="E126" s="639"/>
      <c r="F126" s="639">
        <v>0</v>
      </c>
      <c r="G126" s="639"/>
      <c r="H126" s="639"/>
      <c r="I126" s="639"/>
      <c r="J126" s="639"/>
      <c r="K126" s="639"/>
      <c r="L126" s="639"/>
      <c r="M126" s="639"/>
      <c r="N126" s="639"/>
      <c r="O126" s="639"/>
      <c r="P126" s="639"/>
      <c r="Q126" s="639"/>
      <c r="R126" s="639"/>
      <c r="S126" s="640"/>
      <c r="T126" s="722"/>
      <c r="U126" s="2391"/>
      <c r="V126" s="2391"/>
      <c r="W126" s="1640"/>
      <c r="X126" s="1640"/>
      <c r="Y126" s="1640"/>
      <c r="Z126" s="1640"/>
      <c r="AA126" s="1640"/>
      <c r="AB126" s="1164"/>
      <c r="AC126" s="2392"/>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1"/>
    </row>
    <row customHeight="1" ht="11.25" hidden="1">
      <c r="A127" s="1809"/>
      <c r="B127" s="1164"/>
      <c r="C127" s="416"/>
      <c r="D127" s="2596"/>
      <c r="E127" s="653" t="s">
        <v>22</v>
      </c>
      <c r="F127" s="1172" t="s">
        <v>22</v>
      </c>
      <c r="G127" s="1172" t="s">
        <v>760</v>
      </c>
      <c r="H127" s="655" t="s">
        <v>22</v>
      </c>
      <c r="I127" s="655"/>
      <c r="J127" s="655"/>
      <c r="K127" s="655"/>
      <c r="L127" s="655"/>
      <c r="M127" s="655"/>
      <c r="N127" s="655"/>
      <c r="O127" s="655"/>
      <c r="P127" s="655"/>
      <c r="Q127" s="655"/>
      <c r="R127" s="656"/>
      <c r="S127" s="657"/>
      <c r="T127" s="722"/>
      <c r="U127" s="2391"/>
      <c r="V127" s="2391"/>
      <c r="W127" s="1164"/>
      <c r="X127" s="1164"/>
      <c r="Y127" s="1164"/>
      <c r="Z127" s="1164"/>
      <c r="AA127" s="1640"/>
      <c r="AB127" s="1164"/>
      <c r="AC127" s="2392"/>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1"/>
    </row>
    <row customHeight="1" ht="24.75" hidden="1">
      <c r="A128" s="1809"/>
      <c r="B128" s="1164"/>
      <c r="C128" s="416"/>
      <c r="D128" s="2596"/>
      <c r="E128" s="2393" t="s">
        <v>758</v>
      </c>
      <c r="F128" s="2393"/>
      <c r="G128" s="2393"/>
      <c r="H128" s="2393"/>
      <c r="I128" s="2393"/>
      <c r="J128" s="2393"/>
      <c r="K128" s="2393"/>
      <c r="L128" s="2393"/>
      <c r="M128" s="2393"/>
      <c r="N128" s="2393"/>
      <c r="O128" s="2393"/>
      <c r="P128" s="2393"/>
      <c r="Q128" s="562">
        <f>SUMIF(T129:T130,"i",Q129:Q130)</f>
        <v>0</v>
      </c>
      <c r="R128" s="1021"/>
      <c r="S128" s="1801" t="s">
        <v>759</v>
      </c>
      <c r="T128" s="721" t="s">
        <v>757</v>
      </c>
      <c r="U128" s="2391">
        <v>1</v>
      </c>
      <c r="V128" s="2391" t="str">
        <f>INDEX(B_FHD_FLAG_INDEX_2,1,MATCH(A122,B_FHD_FLAG_DIFFERENTIATION,0))</f>
        <v>отсутствует</v>
      </c>
      <c r="W128" s="1164"/>
      <c r="X128" s="1164"/>
      <c r="Y128" s="1164"/>
      <c r="Z128" s="1164"/>
      <c r="AA128" s="1640"/>
      <c r="AB128" s="1164"/>
      <c r="AC128" s="1799"/>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1"/>
    </row>
    <row customHeight="1" ht="11.25" hidden="1">
      <c r="A129" s="1796"/>
      <c r="B129" s="1640"/>
      <c r="C129" s="1640"/>
      <c r="D129" s="2596"/>
      <c r="E129" s="639"/>
      <c r="F129" s="639">
        <v>0</v>
      </c>
      <c r="G129" s="639"/>
      <c r="H129" s="639"/>
      <c r="I129" s="639"/>
      <c r="J129" s="639"/>
      <c r="K129" s="639"/>
      <c r="L129" s="639"/>
      <c r="M129" s="639"/>
      <c r="N129" s="639"/>
      <c r="O129" s="639"/>
      <c r="P129" s="639"/>
      <c r="Q129" s="639"/>
      <c r="R129" s="639"/>
      <c r="S129" s="640"/>
      <c r="T129" s="722"/>
      <c r="U129" s="2391"/>
      <c r="V129" s="2391"/>
      <c r="W129" s="1640"/>
      <c r="X129" s="1640"/>
      <c r="Y129" s="1640"/>
      <c r="Z129" s="1640"/>
      <c r="AA129" s="1640"/>
      <c r="AB129" s="1164"/>
      <c r="AC129" s="1799"/>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1"/>
    </row>
    <row customHeight="1" ht="11.25" hidden="1">
      <c r="A130" s="1809"/>
      <c r="B130" s="1164"/>
      <c r="C130" s="416"/>
      <c r="D130" s="2597"/>
      <c r="E130" s="653" t="s">
        <v>22</v>
      </c>
      <c r="F130" s="1172" t="s">
        <v>22</v>
      </c>
      <c r="G130" s="1172" t="s">
        <v>760</v>
      </c>
      <c r="H130" s="655" t="s">
        <v>22</v>
      </c>
      <c r="I130" s="655"/>
      <c r="J130" s="655"/>
      <c r="K130" s="655"/>
      <c r="L130" s="655"/>
      <c r="M130" s="655"/>
      <c r="N130" s="655"/>
      <c r="O130" s="655"/>
      <c r="P130" s="655"/>
      <c r="Q130" s="655"/>
      <c r="R130" s="656"/>
      <c r="S130" s="657"/>
      <c r="T130" s="722"/>
      <c r="U130" s="2391"/>
      <c r="V130" s="2391"/>
      <c r="W130" s="1164"/>
      <c r="X130" s="1164"/>
      <c r="Y130" s="1164"/>
      <c r="Z130" s="1164"/>
      <c r="AA130" s="1640"/>
      <c r="AB130" s="1164"/>
      <c r="AC130" s="179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1"/>
    </row>
    <row customHeight="1" ht="15" hidden="1">
      <c r="A131" s="627" t="s">
        <v>207</v>
      </c>
      <c r="B131" s="628"/>
      <c r="C131" s="628" t="s">
        <v>22</v>
      </c>
      <c r="D131" s="2595" t="s">
        <v>772</v>
      </c>
      <c r="E131" s="2394" t="s">
        <v>173</v>
      </c>
      <c r="F131" s="2395"/>
      <c r="G131" s="2396"/>
      <c r="H131" s="2400" t="str">
        <f>IF(A131="","",INDEX(DIFFERENTIATION_UNMERGE_VD,MATCH(A131,DIFFERENTIATION_ID_DIFF,0)))</f>
        <v>Холодное водоснабжение. Питьевая вода</v>
      </c>
      <c r="I131" s="2400"/>
      <c r="J131" s="2400"/>
      <c r="K131" s="2400"/>
      <c r="L131" s="2400"/>
      <c r="M131" s="2400"/>
      <c r="N131" s="2400"/>
      <c r="O131" s="2400"/>
      <c r="P131" s="2400"/>
      <c r="Q131" s="2400"/>
      <c r="R131" s="2400"/>
      <c r="S131" s="723"/>
      <c r="T131" s="720"/>
      <c r="U131" s="629"/>
      <c r="V131" s="629"/>
      <c r="W131" s="630"/>
      <c r="X131" s="630"/>
      <c r="Y131" s="630"/>
      <c r="Z131" s="630"/>
      <c r="AA131" s="631"/>
      <c r="AB131" s="632"/>
      <c r="AC131" s="2392"/>
      <c r="AD131" s="633"/>
      <c r="AE131" s="634" t="s">
        <v>22</v>
      </c>
      <c r="AF131" s="634"/>
      <c r="AG131" s="635" t="s">
        <v>754</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1"/>
    </row>
    <row customHeight="1" ht="15" hidden="1">
      <c r="A132" s="627"/>
      <c r="B132" s="628"/>
      <c r="C132" s="628"/>
      <c r="D132" s="2596"/>
      <c r="E132" s="2394" t="s">
        <v>702</v>
      </c>
      <c r="F132" s="2395"/>
      <c r="G132" s="2396"/>
      <c r="H132" s="2400" t="str">
        <f>IF(A131="","",INDEX(DIFFERENTIATION_UNMERGE_AREA,MATCH(A131,DIFFERENTIATION_ID_DIFF,0)))</f>
        <v>Территория 4</v>
      </c>
      <c r="I132" s="2400"/>
      <c r="J132" s="2400"/>
      <c r="K132" s="2400"/>
      <c r="L132" s="2400"/>
      <c r="M132" s="2400"/>
      <c r="N132" s="2400"/>
      <c r="O132" s="2400"/>
      <c r="P132" s="2400"/>
      <c r="Q132" s="2400"/>
      <c r="R132" s="2400"/>
      <c r="S132" s="723"/>
      <c r="T132" s="720"/>
      <c r="U132" s="629"/>
      <c r="V132" s="629"/>
      <c r="W132" s="630"/>
      <c r="X132" s="630"/>
      <c r="Y132" s="630"/>
      <c r="Z132" s="630"/>
      <c r="AA132" s="631"/>
      <c r="AB132" s="632"/>
      <c r="AC132" s="2392"/>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1"/>
    </row>
    <row customHeight="1" ht="15" hidden="1">
      <c r="A133" s="627"/>
      <c r="B133" s="628"/>
      <c r="C133" s="628"/>
      <c r="D133" s="2596"/>
      <c r="E133" s="2394" t="s">
        <v>703</v>
      </c>
      <c r="F133" s="2395"/>
      <c r="G133" s="2396"/>
      <c r="H133" s="2400" t="str">
        <f>IF(A131="","",INDEX(DIFFERENTIATION_UNMERGE_SYSTEM,MATCH(A131,DIFFERENTIATION_ID_DIFF,0)))</f>
        <v>Централизованная система водоснабжения городского округа ЗАТО город Фокино</v>
      </c>
      <c r="I133" s="2400"/>
      <c r="J133" s="2400"/>
      <c r="K133" s="2400"/>
      <c r="L133" s="2400"/>
      <c r="M133" s="2400"/>
      <c r="N133" s="2400"/>
      <c r="O133" s="2400"/>
      <c r="P133" s="2400"/>
      <c r="Q133" s="2400"/>
      <c r="R133" s="2400"/>
      <c r="S133" s="723"/>
      <c r="T133" s="720"/>
      <c r="U133" s="629"/>
      <c r="V133" s="629"/>
      <c r="W133" s="630"/>
      <c r="X133" s="630"/>
      <c r="Y133" s="630"/>
      <c r="Z133" s="630"/>
      <c r="AA133" s="631"/>
      <c r="AB133" s="632"/>
      <c r="AC133" s="2392"/>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1"/>
    </row>
    <row customHeight="1" ht="24.75" hidden="1">
      <c r="A134" s="1809"/>
      <c r="B134" s="1164"/>
      <c r="C134" s="416"/>
      <c r="D134" s="2596"/>
      <c r="E134" s="2393" t="s">
        <v>755</v>
      </c>
      <c r="F134" s="2393"/>
      <c r="G134" s="2393"/>
      <c r="H134" s="2393"/>
      <c r="I134" s="2393"/>
      <c r="J134" s="2393"/>
      <c r="K134" s="2393"/>
      <c r="L134" s="2393"/>
      <c r="M134" s="2393"/>
      <c r="N134" s="2393"/>
      <c r="O134" s="2393"/>
      <c r="P134" s="2393"/>
      <c r="Q134" s="562">
        <f>SUMIF(T135:T136,"i",Q135:Q136)</f>
        <v>0</v>
      </c>
      <c r="R134" s="1021"/>
      <c r="S134" s="1801" t="s">
        <v>756</v>
      </c>
      <c r="T134" s="721" t="s">
        <v>757</v>
      </c>
      <c r="U134" s="2391">
        <v>1</v>
      </c>
      <c r="V134" s="2391" t="str">
        <f>INDEX(B_FHD_FLAG_INDEX_1,1,MATCH(A131,B_FHD_FLAG_DIFFERENTIATION,0))</f>
        <v>отсутствует</v>
      </c>
      <c r="W134" s="1164"/>
      <c r="X134" s="1164"/>
      <c r="Y134" s="1164"/>
      <c r="Z134" s="1164"/>
      <c r="AA134" s="1640"/>
      <c r="AB134" s="1164"/>
      <c r="AC134" s="2392"/>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1"/>
    </row>
    <row customHeight="1" ht="11.25" hidden="1">
      <c r="A135" s="1796"/>
      <c r="B135" s="1640"/>
      <c r="C135" s="1640"/>
      <c r="D135" s="2596"/>
      <c r="E135" s="639"/>
      <c r="F135" s="639">
        <v>0</v>
      </c>
      <c r="G135" s="639"/>
      <c r="H135" s="639"/>
      <c r="I135" s="639"/>
      <c r="J135" s="639"/>
      <c r="K135" s="639"/>
      <c r="L135" s="639"/>
      <c r="M135" s="639"/>
      <c r="N135" s="639"/>
      <c r="O135" s="639"/>
      <c r="P135" s="639"/>
      <c r="Q135" s="639"/>
      <c r="R135" s="639"/>
      <c r="S135" s="640"/>
      <c r="T135" s="722"/>
      <c r="U135" s="2391"/>
      <c r="V135" s="2391"/>
      <c r="W135" s="1640"/>
      <c r="X135" s="1640"/>
      <c r="Y135" s="1640"/>
      <c r="Z135" s="1640"/>
      <c r="AA135" s="1640"/>
      <c r="AB135" s="1164"/>
      <c r="AC135" s="2392"/>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1"/>
    </row>
    <row customHeight="1" ht="11.25" hidden="1">
      <c r="A136" s="1809"/>
      <c r="B136" s="1164"/>
      <c r="C136" s="416"/>
      <c r="D136" s="2596"/>
      <c r="E136" s="653" t="s">
        <v>22</v>
      </c>
      <c r="F136" s="1172" t="s">
        <v>22</v>
      </c>
      <c r="G136" s="1172" t="s">
        <v>760</v>
      </c>
      <c r="H136" s="655" t="s">
        <v>22</v>
      </c>
      <c r="I136" s="655"/>
      <c r="J136" s="655"/>
      <c r="K136" s="655"/>
      <c r="L136" s="655"/>
      <c r="M136" s="655"/>
      <c r="N136" s="655"/>
      <c r="O136" s="655"/>
      <c r="P136" s="655"/>
      <c r="Q136" s="655"/>
      <c r="R136" s="656"/>
      <c r="S136" s="657"/>
      <c r="T136" s="722"/>
      <c r="U136" s="2391"/>
      <c r="V136" s="2391"/>
      <c r="W136" s="1164"/>
      <c r="X136" s="1164"/>
      <c r="Y136" s="1164"/>
      <c r="Z136" s="1164"/>
      <c r="AA136" s="1640"/>
      <c r="AB136" s="1164"/>
      <c r="AC136" s="2392"/>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1"/>
    </row>
    <row customHeight="1" ht="24.75" hidden="1">
      <c r="A137" s="1809"/>
      <c r="B137" s="1164"/>
      <c r="C137" s="416"/>
      <c r="D137" s="2596"/>
      <c r="E137" s="2393" t="s">
        <v>758</v>
      </c>
      <c r="F137" s="2393"/>
      <c r="G137" s="2393"/>
      <c r="H137" s="2393"/>
      <c r="I137" s="2393"/>
      <c r="J137" s="2393"/>
      <c r="K137" s="2393"/>
      <c r="L137" s="2393"/>
      <c r="M137" s="2393"/>
      <c r="N137" s="2393"/>
      <c r="O137" s="2393"/>
      <c r="P137" s="2393"/>
      <c r="Q137" s="562">
        <f>SUMIF(T138:T139,"i",Q138:Q139)</f>
        <v>0</v>
      </c>
      <c r="R137" s="1021"/>
      <c r="S137" s="1801" t="s">
        <v>759</v>
      </c>
      <c r="T137" s="721" t="s">
        <v>757</v>
      </c>
      <c r="U137" s="2391">
        <v>1</v>
      </c>
      <c r="V137" s="2391" t="str">
        <f>INDEX(B_FHD_FLAG_INDEX_2,1,MATCH(A131,B_FHD_FLAG_DIFFERENTIATION,0))</f>
        <v>отсутствует</v>
      </c>
      <c r="W137" s="1164"/>
      <c r="X137" s="1164"/>
      <c r="Y137" s="1164"/>
      <c r="Z137" s="1164"/>
      <c r="AA137" s="1640"/>
      <c r="AB137" s="1164"/>
      <c r="AC137" s="1799"/>
      <c r="AD137" s="633"/>
      <c r="AE137" s="1164"/>
      <c r="AF137" s="1164"/>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164"/>
      <c r="BW137" s="1164"/>
      <c r="BX137" s="1164"/>
      <c r="BY137" s="1164"/>
      <c r="BZ137" s="1164"/>
      <c r="CA137" s="1164"/>
      <c r="CB137" s="1164"/>
      <c r="CC137" s="1164"/>
      <c r="CD137" s="1164"/>
      <c r="CE137" s="1164"/>
      <c r="CF137" s="1851"/>
    </row>
    <row customHeight="1" ht="11.25" hidden="1">
      <c r="A138" s="1796"/>
      <c r="B138" s="1640"/>
      <c r="C138" s="1640"/>
      <c r="D138" s="2596"/>
      <c r="E138" s="639"/>
      <c r="F138" s="639">
        <v>0</v>
      </c>
      <c r="G138" s="639"/>
      <c r="H138" s="639"/>
      <c r="I138" s="639"/>
      <c r="J138" s="639"/>
      <c r="K138" s="639"/>
      <c r="L138" s="639"/>
      <c r="M138" s="639"/>
      <c r="N138" s="639"/>
      <c r="O138" s="639"/>
      <c r="P138" s="639"/>
      <c r="Q138" s="639"/>
      <c r="R138" s="639"/>
      <c r="S138" s="640"/>
      <c r="T138" s="722"/>
      <c r="U138" s="2391"/>
      <c r="V138" s="2391"/>
      <c r="W138" s="1640"/>
      <c r="X138" s="1640"/>
      <c r="Y138" s="1640"/>
      <c r="Z138" s="1640"/>
      <c r="AA138" s="1640"/>
      <c r="AB138" s="1164"/>
      <c r="AC138" s="1799"/>
      <c r="AD138" s="633"/>
      <c r="AE138" s="1164"/>
      <c r="AF138" s="1164"/>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851"/>
    </row>
    <row customHeight="1" ht="11.25" hidden="1">
      <c r="A139" s="1809"/>
      <c r="B139" s="1164"/>
      <c r="C139" s="416"/>
      <c r="D139" s="2597"/>
      <c r="E139" s="653" t="s">
        <v>22</v>
      </c>
      <c r="F139" s="1172" t="s">
        <v>22</v>
      </c>
      <c r="G139" s="1172" t="s">
        <v>760</v>
      </c>
      <c r="H139" s="655" t="s">
        <v>22</v>
      </c>
      <c r="I139" s="655"/>
      <c r="J139" s="655"/>
      <c r="K139" s="655"/>
      <c r="L139" s="655"/>
      <c r="M139" s="655"/>
      <c r="N139" s="655"/>
      <c r="O139" s="655"/>
      <c r="P139" s="655"/>
      <c r="Q139" s="655"/>
      <c r="R139" s="656"/>
      <c r="S139" s="657"/>
      <c r="T139" s="722"/>
      <c r="U139" s="2391"/>
      <c r="V139" s="2391"/>
      <c r="W139" s="1164"/>
      <c r="X139" s="1164"/>
      <c r="Y139" s="1164"/>
      <c r="Z139" s="1164"/>
      <c r="AA139" s="1640"/>
      <c r="AB139" s="1164"/>
      <c r="AC139" s="1799"/>
      <c r="AD139" s="633"/>
      <c r="AE139" s="1164"/>
      <c r="AF139" s="1164"/>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164"/>
      <c r="BW139" s="1164"/>
      <c r="BX139" s="1164"/>
      <c r="BY139" s="1164"/>
      <c r="BZ139" s="1164"/>
      <c r="CA139" s="1164"/>
      <c r="CB139" s="1164"/>
      <c r="CC139" s="1164"/>
      <c r="CD139" s="1164"/>
      <c r="CE139" s="1164"/>
      <c r="CF139" s="1851"/>
    </row>
    <row customHeight="1" ht="15" hidden="1">
      <c r="A140" s="627" t="s">
        <v>211</v>
      </c>
      <c r="B140" s="628"/>
      <c r="C140" s="628" t="s">
        <v>22</v>
      </c>
      <c r="D140" s="2595" t="s">
        <v>773</v>
      </c>
      <c r="E140" s="2394" t="s">
        <v>173</v>
      </c>
      <c r="F140" s="2395"/>
      <c r="G140" s="2396"/>
      <c r="H140" s="2400" t="str">
        <f>IF(A140="","",INDEX(DIFFERENTIATION_UNMERGE_VD,MATCH(A140,DIFFERENTIATION_ID_DIFF,0)))</f>
        <v>Холодное водоснабжение. Питьевая вода</v>
      </c>
      <c r="I140" s="2400"/>
      <c r="J140" s="2400"/>
      <c r="K140" s="2400"/>
      <c r="L140" s="2400"/>
      <c r="M140" s="2400"/>
      <c r="N140" s="2400"/>
      <c r="O140" s="2400"/>
      <c r="P140" s="2400"/>
      <c r="Q140" s="2400"/>
      <c r="R140" s="2400"/>
      <c r="S140" s="723"/>
      <c r="T140" s="720"/>
      <c r="U140" s="629"/>
      <c r="V140" s="629"/>
      <c r="W140" s="630"/>
      <c r="X140" s="630"/>
      <c r="Y140" s="630"/>
      <c r="Z140" s="630"/>
      <c r="AA140" s="631"/>
      <c r="AB140" s="632"/>
      <c r="AC140" s="2392"/>
      <c r="AD140" s="633"/>
      <c r="AE140" s="634" t="s">
        <v>22</v>
      </c>
      <c r="AF140" s="634"/>
      <c r="AG140" s="635" t="s">
        <v>754</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1"/>
    </row>
    <row customHeight="1" ht="15" hidden="1">
      <c r="A141" s="627"/>
      <c r="B141" s="628"/>
      <c r="C141" s="628"/>
      <c r="D141" s="2596"/>
      <c r="E141" s="2394" t="s">
        <v>702</v>
      </c>
      <c r="F141" s="2395"/>
      <c r="G141" s="2396"/>
      <c r="H141" s="2400" t="str">
        <f>IF(A140="","",INDEX(DIFFERENTIATION_UNMERGE_AREA,MATCH(A140,DIFFERENTIATION_ID_DIFF,0)))</f>
        <v>Территория 5</v>
      </c>
      <c r="I141" s="2400"/>
      <c r="J141" s="2400"/>
      <c r="K141" s="2400"/>
      <c r="L141" s="2400"/>
      <c r="M141" s="2400"/>
      <c r="N141" s="2400"/>
      <c r="O141" s="2400"/>
      <c r="P141" s="2400"/>
      <c r="Q141" s="2400"/>
      <c r="R141" s="2400"/>
      <c r="S141" s="723"/>
      <c r="T141" s="720"/>
      <c r="U141" s="629"/>
      <c r="V141" s="629"/>
      <c r="W141" s="630"/>
      <c r="X141" s="630"/>
      <c r="Y141" s="630"/>
      <c r="Z141" s="630"/>
      <c r="AA141" s="631"/>
      <c r="AB141" s="632"/>
      <c r="AC141" s="2392"/>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1"/>
    </row>
    <row customHeight="1" ht="15" hidden="1">
      <c r="A142" s="627"/>
      <c r="B142" s="628"/>
      <c r="C142" s="628"/>
      <c r="D142" s="2596"/>
      <c r="E142" s="2394" t="s">
        <v>703</v>
      </c>
      <c r="F142" s="2395"/>
      <c r="G142" s="2396"/>
      <c r="H142" s="2400" t="str">
        <f>IF(A140="","",INDEX(DIFFERENTIATION_UNMERGE_SYSTEM,MATCH(A140,DIFFERENTIATION_ID_DIFF,0)))</f>
        <v>Централизованная система водоснабжения Новошахтинского городского поселения</v>
      </c>
      <c r="I142" s="2400"/>
      <c r="J142" s="2400"/>
      <c r="K142" s="2400"/>
      <c r="L142" s="2400"/>
      <c r="M142" s="2400"/>
      <c r="N142" s="2400"/>
      <c r="O142" s="2400"/>
      <c r="P142" s="2400"/>
      <c r="Q142" s="2400"/>
      <c r="R142" s="2400"/>
      <c r="S142" s="723"/>
      <c r="T142" s="720"/>
      <c r="U142" s="629"/>
      <c r="V142" s="629"/>
      <c r="W142" s="630"/>
      <c r="X142" s="630"/>
      <c r="Y142" s="630"/>
      <c r="Z142" s="630"/>
      <c r="AA142" s="631"/>
      <c r="AB142" s="632"/>
      <c r="AC142" s="2392"/>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1"/>
    </row>
    <row customHeight="1" ht="24.75" hidden="1">
      <c r="A143" s="1809"/>
      <c r="B143" s="1164"/>
      <c r="C143" s="416"/>
      <c r="D143" s="2596"/>
      <c r="E143" s="2393" t="s">
        <v>755</v>
      </c>
      <c r="F143" s="2393"/>
      <c r="G143" s="2393"/>
      <c r="H143" s="2393"/>
      <c r="I143" s="2393"/>
      <c r="J143" s="2393"/>
      <c r="K143" s="2393"/>
      <c r="L143" s="2393"/>
      <c r="M143" s="2393"/>
      <c r="N143" s="2393"/>
      <c r="O143" s="2393"/>
      <c r="P143" s="2393"/>
      <c r="Q143" s="562">
        <f>SUMIF(T144:T145,"i",Q144:Q145)</f>
        <v>0</v>
      </c>
      <c r="R143" s="1021"/>
      <c r="S143" s="1801" t="s">
        <v>756</v>
      </c>
      <c r="T143" s="721" t="s">
        <v>757</v>
      </c>
      <c r="U143" s="2391">
        <v>1</v>
      </c>
      <c r="V143" s="2391" t="str">
        <f>INDEX(B_FHD_FLAG_INDEX_1,1,MATCH(A140,B_FHD_FLAG_DIFFERENTIATION,0))</f>
        <v>отсутствует</v>
      </c>
      <c r="W143" s="1164"/>
      <c r="X143" s="1164"/>
      <c r="Y143" s="1164"/>
      <c r="Z143" s="1164"/>
      <c r="AA143" s="1640"/>
      <c r="AB143" s="1164"/>
      <c r="AC143" s="2392"/>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1"/>
    </row>
    <row customHeight="1" ht="11.25" hidden="1">
      <c r="A144" s="1796"/>
      <c r="B144" s="1640"/>
      <c r="C144" s="1640"/>
      <c r="D144" s="2596"/>
      <c r="E144" s="639"/>
      <c r="F144" s="639">
        <v>0</v>
      </c>
      <c r="G144" s="639"/>
      <c r="H144" s="639"/>
      <c r="I144" s="639"/>
      <c r="J144" s="639"/>
      <c r="K144" s="639"/>
      <c r="L144" s="639"/>
      <c r="M144" s="639"/>
      <c r="N144" s="639"/>
      <c r="O144" s="639"/>
      <c r="P144" s="639"/>
      <c r="Q144" s="639"/>
      <c r="R144" s="639"/>
      <c r="S144" s="640"/>
      <c r="T144" s="722"/>
      <c r="U144" s="2391"/>
      <c r="V144" s="2391"/>
      <c r="W144" s="1640"/>
      <c r="X144" s="1640"/>
      <c r="Y144" s="1640"/>
      <c r="Z144" s="1640"/>
      <c r="AA144" s="1640"/>
      <c r="AB144" s="1164"/>
      <c r="AC144" s="2392"/>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1"/>
    </row>
    <row customHeight="1" ht="11.25" hidden="1">
      <c r="A145" s="1809"/>
      <c r="B145" s="1164"/>
      <c r="C145" s="416"/>
      <c r="D145" s="2596"/>
      <c r="E145" s="653" t="s">
        <v>22</v>
      </c>
      <c r="F145" s="1172" t="s">
        <v>22</v>
      </c>
      <c r="G145" s="1172" t="s">
        <v>760</v>
      </c>
      <c r="H145" s="655" t="s">
        <v>22</v>
      </c>
      <c r="I145" s="655"/>
      <c r="J145" s="655"/>
      <c r="K145" s="655"/>
      <c r="L145" s="655"/>
      <c r="M145" s="655"/>
      <c r="N145" s="655"/>
      <c r="O145" s="655"/>
      <c r="P145" s="655"/>
      <c r="Q145" s="655"/>
      <c r="R145" s="656"/>
      <c r="S145" s="657"/>
      <c r="T145" s="722"/>
      <c r="U145" s="2391"/>
      <c r="V145" s="2391"/>
      <c r="W145" s="1164"/>
      <c r="X145" s="1164"/>
      <c r="Y145" s="1164"/>
      <c r="Z145" s="1164"/>
      <c r="AA145" s="1640"/>
      <c r="AB145" s="1164"/>
      <c r="AC145" s="2392"/>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1"/>
    </row>
    <row customHeight="1" ht="24.75" hidden="1">
      <c r="A146" s="1809"/>
      <c r="B146" s="1164"/>
      <c r="C146" s="416"/>
      <c r="D146" s="2596"/>
      <c r="E146" s="2393" t="s">
        <v>758</v>
      </c>
      <c r="F146" s="2393"/>
      <c r="G146" s="2393"/>
      <c r="H146" s="2393"/>
      <c r="I146" s="2393"/>
      <c r="J146" s="2393"/>
      <c r="K146" s="2393"/>
      <c r="L146" s="2393"/>
      <c r="M146" s="2393"/>
      <c r="N146" s="2393"/>
      <c r="O146" s="2393"/>
      <c r="P146" s="2393"/>
      <c r="Q146" s="562">
        <f>SUMIF(T147:T148,"i",Q147:Q148)</f>
        <v>0</v>
      </c>
      <c r="R146" s="1021"/>
      <c r="S146" s="1801" t="s">
        <v>759</v>
      </c>
      <c r="T146" s="721" t="s">
        <v>757</v>
      </c>
      <c r="U146" s="2391">
        <v>1</v>
      </c>
      <c r="V146" s="2391" t="str">
        <f>INDEX(B_FHD_FLAG_INDEX_2,1,MATCH(A140,B_FHD_FLAG_DIFFERENTIATION,0))</f>
        <v>отсутствует</v>
      </c>
      <c r="W146" s="1164"/>
      <c r="X146" s="1164"/>
      <c r="Y146" s="1164"/>
      <c r="Z146" s="1164"/>
      <c r="AA146" s="1640"/>
      <c r="AB146" s="1164"/>
      <c r="AC146" s="1799"/>
      <c r="AD146" s="633"/>
      <c r="AE146" s="1164"/>
      <c r="AF146" s="1164"/>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164"/>
      <c r="BW146" s="1164"/>
      <c r="BX146" s="1164"/>
      <c r="BY146" s="1164"/>
      <c r="BZ146" s="1164"/>
      <c r="CA146" s="1164"/>
      <c r="CB146" s="1164"/>
      <c r="CC146" s="1164"/>
      <c r="CD146" s="1164"/>
      <c r="CE146" s="1164"/>
      <c r="CF146" s="1851"/>
    </row>
    <row customHeight="1" ht="11.25" hidden="1">
      <c r="A147" s="1796"/>
      <c r="B147" s="1640"/>
      <c r="C147" s="1640"/>
      <c r="D147" s="2596"/>
      <c r="E147" s="639"/>
      <c r="F147" s="639">
        <v>0</v>
      </c>
      <c r="G147" s="639"/>
      <c r="H147" s="639"/>
      <c r="I147" s="639"/>
      <c r="J147" s="639"/>
      <c r="K147" s="639"/>
      <c r="L147" s="639"/>
      <c r="M147" s="639"/>
      <c r="N147" s="639"/>
      <c r="O147" s="639"/>
      <c r="P147" s="639"/>
      <c r="Q147" s="639"/>
      <c r="R147" s="639"/>
      <c r="S147" s="640"/>
      <c r="T147" s="722"/>
      <c r="U147" s="2391"/>
      <c r="V147" s="2391"/>
      <c r="W147" s="1640"/>
      <c r="X147" s="1640"/>
      <c r="Y147" s="1640"/>
      <c r="Z147" s="1640"/>
      <c r="AA147" s="1640"/>
      <c r="AB147" s="1164"/>
      <c r="AC147" s="1799"/>
      <c r="AD147" s="633"/>
      <c r="AE147" s="1164"/>
      <c r="AF147" s="1164"/>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851"/>
    </row>
    <row customHeight="1" ht="11.25" hidden="1">
      <c r="A148" s="1809"/>
      <c r="B148" s="1164"/>
      <c r="C148" s="416"/>
      <c r="D148" s="2597"/>
      <c r="E148" s="653" t="s">
        <v>22</v>
      </c>
      <c r="F148" s="1172" t="s">
        <v>22</v>
      </c>
      <c r="G148" s="1172" t="s">
        <v>760</v>
      </c>
      <c r="H148" s="655" t="s">
        <v>22</v>
      </c>
      <c r="I148" s="655"/>
      <c r="J148" s="655"/>
      <c r="K148" s="655"/>
      <c r="L148" s="655"/>
      <c r="M148" s="655"/>
      <c r="N148" s="655"/>
      <c r="O148" s="655"/>
      <c r="P148" s="655"/>
      <c r="Q148" s="655"/>
      <c r="R148" s="656"/>
      <c r="S148" s="657"/>
      <c r="T148" s="722"/>
      <c r="U148" s="2391"/>
      <c r="V148" s="2391"/>
      <c r="W148" s="1164"/>
      <c r="X148" s="1164"/>
      <c r="Y148" s="1164"/>
      <c r="Z148" s="1164"/>
      <c r="AA148" s="1640"/>
      <c r="AB148" s="1164"/>
      <c r="AC148" s="1799"/>
      <c r="AD148" s="633"/>
      <c r="AE148" s="1164"/>
      <c r="AF148" s="1164"/>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164"/>
      <c r="BW148" s="1164"/>
      <c r="BX148" s="1164"/>
      <c r="BY148" s="1164"/>
      <c r="BZ148" s="1164"/>
      <c r="CA148" s="1164"/>
      <c r="CB148" s="1164"/>
      <c r="CC148" s="1164"/>
      <c r="CD148" s="1164"/>
      <c r="CE148" s="1164"/>
      <c r="CF148" s="1851"/>
    </row>
    <row customHeight="1" ht="15" hidden="1">
      <c r="A149" s="627" t="s">
        <v>213</v>
      </c>
      <c r="B149" s="628"/>
      <c r="C149" s="628" t="s">
        <v>22</v>
      </c>
      <c r="D149" s="2595" t="s">
        <v>774</v>
      </c>
      <c r="E149" s="2394" t="s">
        <v>173</v>
      </c>
      <c r="F149" s="2395"/>
      <c r="G149" s="2396"/>
      <c r="H149" s="2400" t="str">
        <f>IF(A149="","",INDEX(DIFFERENTIATION_UNMERGE_VD,MATCH(A149,DIFFERENTIATION_ID_DIFF,0)))</f>
        <v>Холодное водоснабжение. Питьевая вода</v>
      </c>
      <c r="I149" s="2400"/>
      <c r="J149" s="2400"/>
      <c r="K149" s="2400"/>
      <c r="L149" s="2400"/>
      <c r="M149" s="2400"/>
      <c r="N149" s="2400"/>
      <c r="O149" s="2400"/>
      <c r="P149" s="2400"/>
      <c r="Q149" s="2400"/>
      <c r="R149" s="2400"/>
      <c r="S149" s="723"/>
      <c r="T149" s="720"/>
      <c r="U149" s="629"/>
      <c r="V149" s="629"/>
      <c r="W149" s="630"/>
      <c r="X149" s="630"/>
      <c r="Y149" s="630"/>
      <c r="Z149" s="630"/>
      <c r="AA149" s="631"/>
      <c r="AB149" s="632"/>
      <c r="AC149" s="2392"/>
      <c r="AD149" s="633"/>
      <c r="AE149" s="634" t="s">
        <v>22</v>
      </c>
      <c r="AF149" s="634"/>
      <c r="AG149" s="635" t="s">
        <v>754</v>
      </c>
      <c r="AH149" s="636">
        <v>3</v>
      </c>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30"/>
      <c r="BW149" s="630"/>
      <c r="BX149" s="630"/>
      <c r="BY149" s="630"/>
      <c r="BZ149" s="630"/>
      <c r="CA149" s="630"/>
      <c r="CB149" s="630"/>
      <c r="CC149" s="630"/>
      <c r="CD149" s="630"/>
      <c r="CE149" s="630"/>
      <c r="CF149" s="1851"/>
    </row>
    <row customHeight="1" ht="15" hidden="1">
      <c r="A150" s="627"/>
      <c r="B150" s="628"/>
      <c r="C150" s="628"/>
      <c r="D150" s="2596"/>
      <c r="E150" s="2394" t="s">
        <v>702</v>
      </c>
      <c r="F150" s="2395"/>
      <c r="G150" s="2396"/>
      <c r="H150" s="2400" t="str">
        <f>IF(A149="","",INDEX(DIFFERENTIATION_UNMERGE_AREA,MATCH(A149,DIFFERENTIATION_ID_DIFF,0)))</f>
        <v>Территория 6</v>
      </c>
      <c r="I150" s="2400"/>
      <c r="J150" s="2400"/>
      <c r="K150" s="2400"/>
      <c r="L150" s="2400"/>
      <c r="M150" s="2400"/>
      <c r="N150" s="2400"/>
      <c r="O150" s="2400"/>
      <c r="P150" s="2400"/>
      <c r="Q150" s="2400"/>
      <c r="R150" s="2400"/>
      <c r="S150" s="723"/>
      <c r="T150" s="720"/>
      <c r="U150" s="629"/>
      <c r="V150" s="629"/>
      <c r="W150" s="630"/>
      <c r="X150" s="630"/>
      <c r="Y150" s="630"/>
      <c r="Z150" s="630"/>
      <c r="AA150" s="631"/>
      <c r="AB150" s="632"/>
      <c r="AC150" s="2392"/>
      <c r="AD150" s="633"/>
      <c r="AE150" s="634"/>
      <c r="AF150" s="634"/>
      <c r="AG150" s="635"/>
      <c r="AH150" s="636"/>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30"/>
      <c r="BW150" s="630"/>
      <c r="BX150" s="630"/>
      <c r="BY150" s="630"/>
      <c r="BZ150" s="630"/>
      <c r="CA150" s="630"/>
      <c r="CB150" s="630"/>
      <c r="CC150" s="630"/>
      <c r="CD150" s="630"/>
      <c r="CE150" s="630"/>
      <c r="CF150" s="1851"/>
    </row>
    <row customHeight="1" ht="15" hidden="1">
      <c r="A151" s="627"/>
      <c r="B151" s="628"/>
      <c r="C151" s="628"/>
      <c r="D151" s="2596"/>
      <c r="E151" s="2394" t="s">
        <v>703</v>
      </c>
      <c r="F151" s="2395"/>
      <c r="G151" s="2396"/>
      <c r="H151" s="2400" t="str">
        <f>IF(A149="","",INDEX(DIFFERENTIATION_UNMERGE_SYSTEM,MATCH(A149,DIFFERENTIATION_ID_DIFF,0)))</f>
        <v>Централизованная система водоснабжения Дальнегорского городского округа</v>
      </c>
      <c r="I151" s="2400"/>
      <c r="J151" s="2400"/>
      <c r="K151" s="2400"/>
      <c r="L151" s="2400"/>
      <c r="M151" s="2400"/>
      <c r="N151" s="2400"/>
      <c r="O151" s="2400"/>
      <c r="P151" s="2400"/>
      <c r="Q151" s="2400"/>
      <c r="R151" s="2400"/>
      <c r="S151" s="723"/>
      <c r="T151" s="720"/>
      <c r="U151" s="629"/>
      <c r="V151" s="629"/>
      <c r="W151" s="630"/>
      <c r="X151" s="630"/>
      <c r="Y151" s="630"/>
      <c r="Z151" s="630"/>
      <c r="AA151" s="631"/>
      <c r="AB151" s="632"/>
      <c r="AC151" s="2392"/>
      <c r="AD151" s="633"/>
      <c r="AE151" s="634"/>
      <c r="AF151" s="634"/>
      <c r="AG151" s="635"/>
      <c r="AH151" s="636"/>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30"/>
      <c r="BW151" s="630"/>
      <c r="BX151" s="630"/>
      <c r="BY151" s="630"/>
      <c r="BZ151" s="630"/>
      <c r="CA151" s="630"/>
      <c r="CB151" s="630"/>
      <c r="CC151" s="630"/>
      <c r="CD151" s="630"/>
      <c r="CE151" s="630"/>
      <c r="CF151" s="1851"/>
    </row>
    <row customHeight="1" ht="24.75" hidden="1">
      <c r="A152" s="1809"/>
      <c r="B152" s="1164"/>
      <c r="C152" s="416"/>
      <c r="D152" s="2596"/>
      <c r="E152" s="2393" t="s">
        <v>755</v>
      </c>
      <c r="F152" s="2393"/>
      <c r="G152" s="2393"/>
      <c r="H152" s="2393"/>
      <c r="I152" s="2393"/>
      <c r="J152" s="2393"/>
      <c r="K152" s="2393"/>
      <c r="L152" s="2393"/>
      <c r="M152" s="2393"/>
      <c r="N152" s="2393"/>
      <c r="O152" s="2393"/>
      <c r="P152" s="2393"/>
      <c r="Q152" s="562">
        <f>SUMIF(T153:T154,"i",Q153:Q154)</f>
        <v>0</v>
      </c>
      <c r="R152" s="1021"/>
      <c r="S152" s="1801" t="s">
        <v>756</v>
      </c>
      <c r="T152" s="721" t="s">
        <v>757</v>
      </c>
      <c r="U152" s="2391">
        <v>1</v>
      </c>
      <c r="V152" s="2391" t="str">
        <f>INDEX(B_FHD_FLAG_INDEX_1,1,MATCH(A149,B_FHD_FLAG_DIFFERENTIATION,0))</f>
        <v>отсутствует</v>
      </c>
      <c r="W152" s="1164"/>
      <c r="X152" s="1164"/>
      <c r="Y152" s="1164"/>
      <c r="Z152" s="1164"/>
      <c r="AA152" s="1640"/>
      <c r="AB152" s="1164"/>
      <c r="AC152" s="2392"/>
      <c r="AD152" s="633"/>
      <c r="AE152" s="1164"/>
      <c r="AF152" s="1164"/>
      <c r="AG152" s="1640"/>
      <c r="AH152" s="1640"/>
      <c r="AI152" s="1640"/>
      <c r="AJ152" s="1640"/>
      <c r="AK152" s="1640"/>
      <c r="AL152" s="1640"/>
      <c r="AM152" s="1640"/>
      <c r="AN152" s="1640"/>
      <c r="AO152" s="1640"/>
      <c r="AP152" s="1640"/>
      <c r="AQ152" s="1640"/>
      <c r="AR152" s="1640"/>
      <c r="AS152" s="1640"/>
      <c r="AT152" s="1640"/>
      <c r="AU152" s="1640"/>
      <c r="AV152" s="1640"/>
      <c r="AW152" s="1640"/>
      <c r="AX152" s="1640"/>
      <c r="AY152" s="1640"/>
      <c r="AZ152" s="1640"/>
      <c r="BA152" s="1640"/>
      <c r="BB152" s="1640"/>
      <c r="BC152" s="1640"/>
      <c r="BD152" s="1640"/>
      <c r="BE152" s="1640"/>
      <c r="BF152" s="1640"/>
      <c r="BG152" s="1640"/>
      <c r="BH152" s="1640"/>
      <c r="BI152" s="1640"/>
      <c r="BJ152" s="1640"/>
      <c r="BK152" s="1640"/>
      <c r="BL152" s="1640"/>
      <c r="BM152" s="1640"/>
      <c r="BN152" s="1640"/>
      <c r="BO152" s="1640"/>
      <c r="BP152" s="1640"/>
      <c r="BQ152" s="1640"/>
      <c r="BR152" s="1640"/>
      <c r="BS152" s="1640"/>
      <c r="BT152" s="1640"/>
      <c r="BU152" s="1640"/>
      <c r="BV152" s="1164"/>
      <c r="BW152" s="1164"/>
      <c r="BX152" s="1164"/>
      <c r="BY152" s="1164"/>
      <c r="BZ152" s="1164"/>
      <c r="CA152" s="1164"/>
      <c r="CB152" s="1164"/>
      <c r="CC152" s="1164"/>
      <c r="CD152" s="1164"/>
      <c r="CE152" s="1164"/>
      <c r="CF152" s="1851"/>
    </row>
    <row customHeight="1" ht="11.25" hidden="1">
      <c r="A153" s="1796"/>
      <c r="B153" s="1640"/>
      <c r="C153" s="1640"/>
      <c r="D153" s="2596"/>
      <c r="E153" s="639"/>
      <c r="F153" s="639">
        <v>0</v>
      </c>
      <c r="G153" s="639"/>
      <c r="H153" s="639"/>
      <c r="I153" s="639"/>
      <c r="J153" s="639"/>
      <c r="K153" s="639"/>
      <c r="L153" s="639"/>
      <c r="M153" s="639"/>
      <c r="N153" s="639"/>
      <c r="O153" s="639"/>
      <c r="P153" s="639"/>
      <c r="Q153" s="639"/>
      <c r="R153" s="639"/>
      <c r="S153" s="640"/>
      <c r="T153" s="722"/>
      <c r="U153" s="2391"/>
      <c r="V153" s="2391"/>
      <c r="W153" s="1640"/>
      <c r="X153" s="1640"/>
      <c r="Y153" s="1640"/>
      <c r="Z153" s="1640"/>
      <c r="AA153" s="1640"/>
      <c r="AB153" s="1164"/>
      <c r="AC153" s="2392"/>
      <c r="AD153" s="633"/>
      <c r="AE153" s="1164"/>
      <c r="AF153" s="1164"/>
      <c r="AG153" s="1640"/>
      <c r="AH153" s="1640"/>
      <c r="AI153" s="1640"/>
      <c r="AJ153" s="1640"/>
      <c r="AK153" s="1640"/>
      <c r="AL153" s="1640"/>
      <c r="AM153" s="1640"/>
      <c r="AN153" s="1640"/>
      <c r="AO153" s="1640"/>
      <c r="AP153" s="1640"/>
      <c r="AQ153" s="1640"/>
      <c r="AR153" s="1640"/>
      <c r="AS153" s="1640"/>
      <c r="AT153" s="1640"/>
      <c r="AU153" s="1640"/>
      <c r="AV153" s="1640"/>
      <c r="AW153" s="1640"/>
      <c r="AX153" s="1640"/>
      <c r="AY153" s="1640"/>
      <c r="AZ153" s="1640"/>
      <c r="BA153" s="1640"/>
      <c r="BB153" s="1640"/>
      <c r="BC153" s="1640"/>
      <c r="BD153" s="1640"/>
      <c r="BE153" s="1640"/>
      <c r="BF153" s="1640"/>
      <c r="BG153" s="1640"/>
      <c r="BH153" s="1640"/>
      <c r="BI153" s="1640"/>
      <c r="BJ153" s="1640"/>
      <c r="BK153" s="1640"/>
      <c r="BL153" s="1640"/>
      <c r="BM153" s="1640"/>
      <c r="BN153" s="1640"/>
      <c r="BO153" s="1640"/>
      <c r="BP153" s="1640"/>
      <c r="BQ153" s="1640"/>
      <c r="BR153" s="1640"/>
      <c r="BS153" s="1640"/>
      <c r="BT153" s="1640"/>
      <c r="BU153" s="1640"/>
      <c r="BV153" s="1640"/>
      <c r="BW153" s="1640"/>
      <c r="BX153" s="1640"/>
      <c r="BY153" s="1640"/>
      <c r="BZ153" s="1640"/>
      <c r="CA153" s="1640"/>
      <c r="CB153" s="1640"/>
      <c r="CC153" s="1640"/>
      <c r="CD153" s="1640"/>
      <c r="CE153" s="1640"/>
      <c r="CF153" s="1851"/>
    </row>
    <row customHeight="1" ht="11.25" hidden="1">
      <c r="A154" s="1809"/>
      <c r="B154" s="1164"/>
      <c r="C154" s="416"/>
      <c r="D154" s="2596"/>
      <c r="E154" s="653" t="s">
        <v>22</v>
      </c>
      <c r="F154" s="1172" t="s">
        <v>22</v>
      </c>
      <c r="G154" s="1172" t="s">
        <v>760</v>
      </c>
      <c r="H154" s="655" t="s">
        <v>22</v>
      </c>
      <c r="I154" s="655"/>
      <c r="J154" s="655"/>
      <c r="K154" s="655"/>
      <c r="L154" s="655"/>
      <c r="M154" s="655"/>
      <c r="N154" s="655"/>
      <c r="O154" s="655"/>
      <c r="P154" s="655"/>
      <c r="Q154" s="655"/>
      <c r="R154" s="656"/>
      <c r="S154" s="657"/>
      <c r="T154" s="722"/>
      <c r="U154" s="2391"/>
      <c r="V154" s="2391"/>
      <c r="W154" s="1164"/>
      <c r="X154" s="1164"/>
      <c r="Y154" s="1164"/>
      <c r="Z154" s="1164"/>
      <c r="AA154" s="1640"/>
      <c r="AB154" s="1164"/>
      <c r="AC154" s="2392"/>
      <c r="AD154" s="633"/>
      <c r="AE154" s="1164"/>
      <c r="AF154" s="1164"/>
      <c r="AG154" s="1640"/>
      <c r="AH154" s="1640"/>
      <c r="AI154" s="1640"/>
      <c r="AJ154" s="1640"/>
      <c r="AK154" s="1640"/>
      <c r="AL154" s="1640"/>
      <c r="AM154" s="1640"/>
      <c r="AN154" s="1640"/>
      <c r="AO154" s="1640"/>
      <c r="AP154" s="1640"/>
      <c r="AQ154" s="1640"/>
      <c r="AR154" s="1640"/>
      <c r="AS154" s="1640"/>
      <c r="AT154" s="1640"/>
      <c r="AU154" s="1640"/>
      <c r="AV154" s="1640"/>
      <c r="AW154" s="1640"/>
      <c r="AX154" s="1640"/>
      <c r="AY154" s="1640"/>
      <c r="AZ154" s="1640"/>
      <c r="BA154" s="1640"/>
      <c r="BB154" s="1640"/>
      <c r="BC154" s="1640"/>
      <c r="BD154" s="1640"/>
      <c r="BE154" s="1640"/>
      <c r="BF154" s="1640"/>
      <c r="BG154" s="1640"/>
      <c r="BH154" s="1640"/>
      <c r="BI154" s="1640"/>
      <c r="BJ154" s="1640"/>
      <c r="BK154" s="1640"/>
      <c r="BL154" s="1640"/>
      <c r="BM154" s="1640"/>
      <c r="BN154" s="1640"/>
      <c r="BO154" s="1640"/>
      <c r="BP154" s="1640"/>
      <c r="BQ154" s="1640"/>
      <c r="BR154" s="1640"/>
      <c r="BS154" s="1640"/>
      <c r="BT154" s="1640"/>
      <c r="BU154" s="1640"/>
      <c r="BV154" s="1164"/>
      <c r="BW154" s="1164"/>
      <c r="BX154" s="1164"/>
      <c r="BY154" s="1164"/>
      <c r="BZ154" s="1164"/>
      <c r="CA154" s="1164"/>
      <c r="CB154" s="1164"/>
      <c r="CC154" s="1164"/>
      <c r="CD154" s="1164"/>
      <c r="CE154" s="1164"/>
      <c r="CF154" s="1851"/>
    </row>
    <row customHeight="1" ht="24.75" hidden="1">
      <c r="A155" s="1809"/>
      <c r="B155" s="1164"/>
      <c r="C155" s="416"/>
      <c r="D155" s="2596"/>
      <c r="E155" s="2393" t="s">
        <v>758</v>
      </c>
      <c r="F155" s="2393"/>
      <c r="G155" s="2393"/>
      <c r="H155" s="2393"/>
      <c r="I155" s="2393"/>
      <c r="J155" s="2393"/>
      <c r="K155" s="2393"/>
      <c r="L155" s="2393"/>
      <c r="M155" s="2393"/>
      <c r="N155" s="2393"/>
      <c r="O155" s="2393"/>
      <c r="P155" s="2393"/>
      <c r="Q155" s="562">
        <f>SUMIF(T156:T157,"i",Q156:Q157)</f>
        <v>0</v>
      </c>
      <c r="R155" s="1021"/>
      <c r="S155" s="1801" t="s">
        <v>759</v>
      </c>
      <c r="T155" s="721" t="s">
        <v>757</v>
      </c>
      <c r="U155" s="2391">
        <v>1</v>
      </c>
      <c r="V155" s="2391" t="str">
        <f>INDEX(B_FHD_FLAG_INDEX_2,1,MATCH(A149,B_FHD_FLAG_DIFFERENTIATION,0))</f>
        <v>отсутствует</v>
      </c>
      <c r="W155" s="1164"/>
      <c r="X155" s="1164"/>
      <c r="Y155" s="1164"/>
      <c r="Z155" s="1164"/>
      <c r="AA155" s="1640"/>
      <c r="AB155" s="1164"/>
      <c r="AC155" s="1799"/>
      <c r="AD155" s="633"/>
      <c r="AE155" s="1164"/>
      <c r="AF155" s="1164"/>
      <c r="AG155" s="1640"/>
      <c r="AH155" s="1640"/>
      <c r="AI155" s="1640"/>
      <c r="AJ155" s="1640"/>
      <c r="AK155" s="1640"/>
      <c r="AL155" s="1640"/>
      <c r="AM155" s="1640"/>
      <c r="AN155" s="1640"/>
      <c r="AO155" s="1640"/>
      <c r="AP155" s="1640"/>
      <c r="AQ155" s="1640"/>
      <c r="AR155" s="1640"/>
      <c r="AS155" s="1640"/>
      <c r="AT155" s="1640"/>
      <c r="AU155" s="1640"/>
      <c r="AV155" s="1640"/>
      <c r="AW155" s="1640"/>
      <c r="AX155" s="1640"/>
      <c r="AY155" s="1640"/>
      <c r="AZ155" s="1640"/>
      <c r="BA155" s="1640"/>
      <c r="BB155" s="1640"/>
      <c r="BC155" s="1640"/>
      <c r="BD155" s="1640"/>
      <c r="BE155" s="1640"/>
      <c r="BF155" s="1640"/>
      <c r="BG155" s="1640"/>
      <c r="BH155" s="1640"/>
      <c r="BI155" s="1640"/>
      <c r="BJ155" s="1640"/>
      <c r="BK155" s="1640"/>
      <c r="BL155" s="1640"/>
      <c r="BM155" s="1640"/>
      <c r="BN155" s="1640"/>
      <c r="BO155" s="1640"/>
      <c r="BP155" s="1640"/>
      <c r="BQ155" s="1640"/>
      <c r="BR155" s="1640"/>
      <c r="BS155" s="1640"/>
      <c r="BT155" s="1640"/>
      <c r="BU155" s="1640"/>
      <c r="BV155" s="1164"/>
      <c r="BW155" s="1164"/>
      <c r="BX155" s="1164"/>
      <c r="BY155" s="1164"/>
      <c r="BZ155" s="1164"/>
      <c r="CA155" s="1164"/>
      <c r="CB155" s="1164"/>
      <c r="CC155" s="1164"/>
      <c r="CD155" s="1164"/>
      <c r="CE155" s="1164"/>
      <c r="CF155" s="1851"/>
    </row>
    <row customHeight="1" ht="11.25" hidden="1">
      <c r="A156" s="1796"/>
      <c r="B156" s="1640"/>
      <c r="C156" s="1640"/>
      <c r="D156" s="2596"/>
      <c r="E156" s="639"/>
      <c r="F156" s="639">
        <v>0</v>
      </c>
      <c r="G156" s="639"/>
      <c r="H156" s="639"/>
      <c r="I156" s="639"/>
      <c r="J156" s="639"/>
      <c r="K156" s="639"/>
      <c r="L156" s="639"/>
      <c r="M156" s="639"/>
      <c r="N156" s="639"/>
      <c r="O156" s="639"/>
      <c r="P156" s="639"/>
      <c r="Q156" s="639"/>
      <c r="R156" s="639"/>
      <c r="S156" s="640"/>
      <c r="T156" s="722"/>
      <c r="U156" s="2391"/>
      <c r="V156" s="2391"/>
      <c r="W156" s="1640"/>
      <c r="X156" s="1640"/>
      <c r="Y156" s="1640"/>
      <c r="Z156" s="1640"/>
      <c r="AA156" s="1640"/>
      <c r="AB156" s="1164"/>
      <c r="AC156" s="1799"/>
      <c r="AD156" s="633"/>
      <c r="AE156" s="1164"/>
      <c r="AF156" s="1164"/>
      <c r="AG156" s="1640"/>
      <c r="AH156" s="1640"/>
      <c r="AI156" s="1640"/>
      <c r="AJ156" s="1640"/>
      <c r="AK156" s="1640"/>
      <c r="AL156" s="1640"/>
      <c r="AM156" s="1640"/>
      <c r="AN156" s="1640"/>
      <c r="AO156" s="1640"/>
      <c r="AP156" s="1640"/>
      <c r="AQ156" s="1640"/>
      <c r="AR156" s="1640"/>
      <c r="AS156" s="1640"/>
      <c r="AT156" s="1640"/>
      <c r="AU156" s="1640"/>
      <c r="AV156" s="1640"/>
      <c r="AW156" s="1640"/>
      <c r="AX156" s="1640"/>
      <c r="AY156" s="1640"/>
      <c r="AZ156" s="1640"/>
      <c r="BA156" s="1640"/>
      <c r="BB156" s="1640"/>
      <c r="BC156" s="1640"/>
      <c r="BD156" s="1640"/>
      <c r="BE156" s="1640"/>
      <c r="BF156" s="1640"/>
      <c r="BG156" s="1640"/>
      <c r="BH156" s="1640"/>
      <c r="BI156" s="1640"/>
      <c r="BJ156" s="1640"/>
      <c r="BK156" s="1640"/>
      <c r="BL156" s="1640"/>
      <c r="BM156" s="1640"/>
      <c r="BN156" s="1640"/>
      <c r="BO156" s="1640"/>
      <c r="BP156" s="1640"/>
      <c r="BQ156" s="1640"/>
      <c r="BR156" s="1640"/>
      <c r="BS156" s="1640"/>
      <c r="BT156" s="1640"/>
      <c r="BU156" s="1640"/>
      <c r="BV156" s="1640"/>
      <c r="BW156" s="1640"/>
      <c r="BX156" s="1640"/>
      <c r="BY156" s="1640"/>
      <c r="BZ156" s="1640"/>
      <c r="CA156" s="1640"/>
      <c r="CB156" s="1640"/>
      <c r="CC156" s="1640"/>
      <c r="CD156" s="1640"/>
      <c r="CE156" s="1640"/>
      <c r="CF156" s="1851"/>
    </row>
    <row customHeight="1" ht="11.25" hidden="1">
      <c r="A157" s="1809"/>
      <c r="B157" s="1164"/>
      <c r="C157" s="416"/>
      <c r="D157" s="2597"/>
      <c r="E157" s="653" t="s">
        <v>22</v>
      </c>
      <c r="F157" s="1172" t="s">
        <v>22</v>
      </c>
      <c r="G157" s="1172" t="s">
        <v>760</v>
      </c>
      <c r="H157" s="655" t="s">
        <v>22</v>
      </c>
      <c r="I157" s="655"/>
      <c r="J157" s="655"/>
      <c r="K157" s="655"/>
      <c r="L157" s="655"/>
      <c r="M157" s="655"/>
      <c r="N157" s="655"/>
      <c r="O157" s="655"/>
      <c r="P157" s="655"/>
      <c r="Q157" s="655"/>
      <c r="R157" s="656"/>
      <c r="S157" s="657"/>
      <c r="T157" s="722"/>
      <c r="U157" s="2391"/>
      <c r="V157" s="2391"/>
      <c r="W157" s="1164"/>
      <c r="X157" s="1164"/>
      <c r="Y157" s="1164"/>
      <c r="Z157" s="1164"/>
      <c r="AA157" s="1640"/>
      <c r="AB157" s="1164"/>
      <c r="AC157" s="1799"/>
      <c r="AD157" s="633"/>
      <c r="AE157" s="1164"/>
      <c r="AF157" s="1164"/>
      <c r="AG157" s="1640"/>
      <c r="AH157" s="1640"/>
      <c r="AI157" s="1640"/>
      <c r="AJ157" s="1640"/>
      <c r="AK157" s="1640"/>
      <c r="AL157" s="1640"/>
      <c r="AM157" s="1640"/>
      <c r="AN157" s="1640"/>
      <c r="AO157" s="1640"/>
      <c r="AP157" s="1640"/>
      <c r="AQ157" s="1640"/>
      <c r="AR157" s="1640"/>
      <c r="AS157" s="1640"/>
      <c r="AT157" s="1640"/>
      <c r="AU157" s="1640"/>
      <c r="AV157" s="1640"/>
      <c r="AW157" s="1640"/>
      <c r="AX157" s="1640"/>
      <c r="AY157" s="1640"/>
      <c r="AZ157" s="1640"/>
      <c r="BA157" s="1640"/>
      <c r="BB157" s="1640"/>
      <c r="BC157" s="1640"/>
      <c r="BD157" s="1640"/>
      <c r="BE157" s="1640"/>
      <c r="BF157" s="1640"/>
      <c r="BG157" s="1640"/>
      <c r="BH157" s="1640"/>
      <c r="BI157" s="1640"/>
      <c r="BJ157" s="1640"/>
      <c r="BK157" s="1640"/>
      <c r="BL157" s="1640"/>
      <c r="BM157" s="1640"/>
      <c r="BN157" s="1640"/>
      <c r="BO157" s="1640"/>
      <c r="BP157" s="1640"/>
      <c r="BQ157" s="1640"/>
      <c r="BR157" s="1640"/>
      <c r="BS157" s="1640"/>
      <c r="BT157" s="1640"/>
      <c r="BU157" s="1640"/>
      <c r="BV157" s="1164"/>
      <c r="BW157" s="1164"/>
      <c r="BX157" s="1164"/>
      <c r="BY157" s="1164"/>
      <c r="BZ157" s="1164"/>
      <c r="CA157" s="1164"/>
      <c r="CB157" s="1164"/>
      <c r="CC157" s="1164"/>
      <c r="CD157" s="1164"/>
      <c r="CE157" s="1164"/>
      <c r="CF157" s="1851"/>
    </row>
    <row customHeight="1" ht="15" hidden="1">
      <c r="A158" s="627" t="s">
        <v>215</v>
      </c>
      <c r="B158" s="628"/>
      <c r="C158" s="628" t="s">
        <v>22</v>
      </c>
      <c r="D158" s="2595" t="s">
        <v>775</v>
      </c>
      <c r="E158" s="2394" t="s">
        <v>173</v>
      </c>
      <c r="F158" s="2395"/>
      <c r="G158" s="2396"/>
      <c r="H158" s="2400" t="str">
        <f>IF(A158="","",INDEX(DIFFERENTIATION_UNMERGE_VD,MATCH(A158,DIFFERENTIATION_ID_DIFF,0)))</f>
        <v>Холодное водоснабжение. Питьевая вода</v>
      </c>
      <c r="I158" s="2400"/>
      <c r="J158" s="2400"/>
      <c r="K158" s="2400"/>
      <c r="L158" s="2400"/>
      <c r="M158" s="2400"/>
      <c r="N158" s="2400"/>
      <c r="O158" s="2400"/>
      <c r="P158" s="2400"/>
      <c r="Q158" s="2400"/>
      <c r="R158" s="2400"/>
      <c r="S158" s="723"/>
      <c r="T158" s="720"/>
      <c r="U158" s="629"/>
      <c r="V158" s="629"/>
      <c r="W158" s="630"/>
      <c r="X158" s="630"/>
      <c r="Y158" s="630"/>
      <c r="Z158" s="630"/>
      <c r="AA158" s="631"/>
      <c r="AB158" s="632"/>
      <c r="AC158" s="2392"/>
      <c r="AD158" s="633"/>
      <c r="AE158" s="634" t="s">
        <v>22</v>
      </c>
      <c r="AF158" s="634"/>
      <c r="AG158" s="635" t="s">
        <v>754</v>
      </c>
      <c r="AH158" s="636">
        <v>3</v>
      </c>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30"/>
      <c r="BW158" s="630"/>
      <c r="BX158" s="630"/>
      <c r="BY158" s="630"/>
      <c r="BZ158" s="630"/>
      <c r="CA158" s="630"/>
      <c r="CB158" s="630"/>
      <c r="CC158" s="630"/>
      <c r="CD158" s="630"/>
      <c r="CE158" s="630"/>
      <c r="CF158" s="1851"/>
    </row>
    <row customHeight="1" ht="15" hidden="1">
      <c r="A159" s="627"/>
      <c r="B159" s="628"/>
      <c r="C159" s="628"/>
      <c r="D159" s="2596"/>
      <c r="E159" s="2394" t="s">
        <v>702</v>
      </c>
      <c r="F159" s="2395"/>
      <c r="G159" s="2396"/>
      <c r="H159" s="2400" t="str">
        <f>IF(A158="","",INDEX(DIFFERENTIATION_UNMERGE_AREA,MATCH(A158,DIFFERENTIATION_ID_DIFF,0)))</f>
        <v>Территория 7</v>
      </c>
      <c r="I159" s="2400"/>
      <c r="J159" s="2400"/>
      <c r="K159" s="2400"/>
      <c r="L159" s="2400"/>
      <c r="M159" s="2400"/>
      <c r="N159" s="2400"/>
      <c r="O159" s="2400"/>
      <c r="P159" s="2400"/>
      <c r="Q159" s="2400"/>
      <c r="R159" s="2400"/>
      <c r="S159" s="723"/>
      <c r="T159" s="720"/>
      <c r="U159" s="629"/>
      <c r="V159" s="629"/>
      <c r="W159" s="630"/>
      <c r="X159" s="630"/>
      <c r="Y159" s="630"/>
      <c r="Z159" s="630"/>
      <c r="AA159" s="631"/>
      <c r="AB159" s="632"/>
      <c r="AC159" s="2392"/>
      <c r="AD159" s="633"/>
      <c r="AE159" s="634"/>
      <c r="AF159" s="634"/>
      <c r="AG159" s="635"/>
      <c r="AH159" s="636"/>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30"/>
      <c r="BW159" s="630"/>
      <c r="BX159" s="630"/>
      <c r="BY159" s="630"/>
      <c r="BZ159" s="630"/>
      <c r="CA159" s="630"/>
      <c r="CB159" s="630"/>
      <c r="CC159" s="630"/>
      <c r="CD159" s="630"/>
      <c r="CE159" s="630"/>
      <c r="CF159" s="1851"/>
    </row>
    <row customHeight="1" ht="15" hidden="1">
      <c r="A160" s="627"/>
      <c r="B160" s="628"/>
      <c r="C160" s="628"/>
      <c r="D160" s="2596"/>
      <c r="E160" s="2394" t="s">
        <v>703</v>
      </c>
      <c r="F160" s="2395"/>
      <c r="G160" s="2396"/>
      <c r="H160" s="2400" t="str">
        <f>IF(A158="","",INDEX(DIFFERENTIATION_UNMERGE_SYSTEM,MATCH(A158,DIFFERENTIATION_ID_DIFF,0)))</f>
        <v>Централизованная система водоснабжения Кавалеровского муниципального района</v>
      </c>
      <c r="I160" s="2400"/>
      <c r="J160" s="2400"/>
      <c r="K160" s="2400"/>
      <c r="L160" s="2400"/>
      <c r="M160" s="2400"/>
      <c r="N160" s="2400"/>
      <c r="O160" s="2400"/>
      <c r="P160" s="2400"/>
      <c r="Q160" s="2400"/>
      <c r="R160" s="2400"/>
      <c r="S160" s="723"/>
      <c r="T160" s="720"/>
      <c r="U160" s="629"/>
      <c r="V160" s="629"/>
      <c r="W160" s="630"/>
      <c r="X160" s="630"/>
      <c r="Y160" s="630"/>
      <c r="Z160" s="630"/>
      <c r="AA160" s="631"/>
      <c r="AB160" s="632"/>
      <c r="AC160" s="2392"/>
      <c r="AD160" s="633"/>
      <c r="AE160" s="634"/>
      <c r="AF160" s="634"/>
      <c r="AG160" s="635"/>
      <c r="AH160" s="636"/>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30"/>
      <c r="BW160" s="630"/>
      <c r="BX160" s="630"/>
      <c r="BY160" s="630"/>
      <c r="BZ160" s="630"/>
      <c r="CA160" s="630"/>
      <c r="CB160" s="630"/>
      <c r="CC160" s="630"/>
      <c r="CD160" s="630"/>
      <c r="CE160" s="630"/>
      <c r="CF160" s="1851"/>
    </row>
    <row customHeight="1" ht="24.75" hidden="1">
      <c r="A161" s="1809"/>
      <c r="B161" s="1164"/>
      <c r="C161" s="416"/>
      <c r="D161" s="2596"/>
      <c r="E161" s="2393" t="s">
        <v>755</v>
      </c>
      <c r="F161" s="2393"/>
      <c r="G161" s="2393"/>
      <c r="H161" s="2393"/>
      <c r="I161" s="2393"/>
      <c r="J161" s="2393"/>
      <c r="K161" s="2393"/>
      <c r="L161" s="2393"/>
      <c r="M161" s="2393"/>
      <c r="N161" s="2393"/>
      <c r="O161" s="2393"/>
      <c r="P161" s="2393"/>
      <c r="Q161" s="562">
        <f>SUMIF(T162:T163,"i",Q162:Q163)</f>
        <v>0</v>
      </c>
      <c r="R161" s="1021"/>
      <c r="S161" s="1801" t="s">
        <v>756</v>
      </c>
      <c r="T161" s="721" t="s">
        <v>757</v>
      </c>
      <c r="U161" s="2391">
        <v>1</v>
      </c>
      <c r="V161" s="2391" t="str">
        <f>INDEX(B_FHD_FLAG_INDEX_1,1,MATCH(A158,B_FHD_FLAG_DIFFERENTIATION,0))</f>
        <v>отсутствует</v>
      </c>
      <c r="W161" s="1164"/>
      <c r="X161" s="1164"/>
      <c r="Y161" s="1164"/>
      <c r="Z161" s="1164"/>
      <c r="AA161" s="1640"/>
      <c r="AB161" s="1164"/>
      <c r="AC161" s="2392"/>
      <c r="AD161" s="633"/>
      <c r="AE161" s="1164"/>
      <c r="AF161" s="1164"/>
      <c r="AG161" s="1640"/>
      <c r="AH161" s="1640"/>
      <c r="AI161" s="1640"/>
      <c r="AJ161" s="1640"/>
      <c r="AK161" s="1640"/>
      <c r="AL161" s="1640"/>
      <c r="AM161" s="1640"/>
      <c r="AN161" s="1640"/>
      <c r="AO161" s="1640"/>
      <c r="AP161" s="1640"/>
      <c r="AQ161" s="1640"/>
      <c r="AR161" s="1640"/>
      <c r="AS161" s="1640"/>
      <c r="AT161" s="1640"/>
      <c r="AU161" s="1640"/>
      <c r="AV161" s="1640"/>
      <c r="AW161" s="1640"/>
      <c r="AX161" s="1640"/>
      <c r="AY161" s="1640"/>
      <c r="AZ161" s="1640"/>
      <c r="BA161" s="1640"/>
      <c r="BB161" s="1640"/>
      <c r="BC161" s="1640"/>
      <c r="BD161" s="1640"/>
      <c r="BE161" s="1640"/>
      <c r="BF161" s="1640"/>
      <c r="BG161" s="1640"/>
      <c r="BH161" s="1640"/>
      <c r="BI161" s="1640"/>
      <c r="BJ161" s="1640"/>
      <c r="BK161" s="1640"/>
      <c r="BL161" s="1640"/>
      <c r="BM161" s="1640"/>
      <c r="BN161" s="1640"/>
      <c r="BO161" s="1640"/>
      <c r="BP161" s="1640"/>
      <c r="BQ161" s="1640"/>
      <c r="BR161" s="1640"/>
      <c r="BS161" s="1640"/>
      <c r="BT161" s="1640"/>
      <c r="BU161" s="1640"/>
      <c r="BV161" s="1164"/>
      <c r="BW161" s="1164"/>
      <c r="BX161" s="1164"/>
      <c r="BY161" s="1164"/>
      <c r="BZ161" s="1164"/>
      <c r="CA161" s="1164"/>
      <c r="CB161" s="1164"/>
      <c r="CC161" s="1164"/>
      <c r="CD161" s="1164"/>
      <c r="CE161" s="1164"/>
      <c r="CF161" s="1851"/>
    </row>
    <row customHeight="1" ht="11.25" hidden="1">
      <c r="A162" s="1796"/>
      <c r="B162" s="1640"/>
      <c r="C162" s="1640"/>
      <c r="D162" s="2596"/>
      <c r="E162" s="639"/>
      <c r="F162" s="639">
        <v>0</v>
      </c>
      <c r="G162" s="639"/>
      <c r="H162" s="639"/>
      <c r="I162" s="639"/>
      <c r="J162" s="639"/>
      <c r="K162" s="639"/>
      <c r="L162" s="639"/>
      <c r="M162" s="639"/>
      <c r="N162" s="639"/>
      <c r="O162" s="639"/>
      <c r="P162" s="639"/>
      <c r="Q162" s="639"/>
      <c r="R162" s="639"/>
      <c r="S162" s="640"/>
      <c r="T162" s="722"/>
      <c r="U162" s="2391"/>
      <c r="V162" s="2391"/>
      <c r="W162" s="1640"/>
      <c r="X162" s="1640"/>
      <c r="Y162" s="1640"/>
      <c r="Z162" s="1640"/>
      <c r="AA162" s="1640"/>
      <c r="AB162" s="1164"/>
      <c r="AC162" s="2392"/>
      <c r="AD162" s="633"/>
      <c r="AE162" s="1164"/>
      <c r="AF162" s="1164"/>
      <c r="AG162" s="1640"/>
      <c r="AH162" s="1640"/>
      <c r="AI162" s="1640"/>
      <c r="AJ162" s="1640"/>
      <c r="AK162" s="1640"/>
      <c r="AL162" s="1640"/>
      <c r="AM162" s="1640"/>
      <c r="AN162" s="1640"/>
      <c r="AO162" s="1640"/>
      <c r="AP162" s="1640"/>
      <c r="AQ162" s="1640"/>
      <c r="AR162" s="1640"/>
      <c r="AS162" s="1640"/>
      <c r="AT162" s="1640"/>
      <c r="AU162" s="1640"/>
      <c r="AV162" s="1640"/>
      <c r="AW162" s="1640"/>
      <c r="AX162" s="1640"/>
      <c r="AY162" s="1640"/>
      <c r="AZ162" s="1640"/>
      <c r="BA162" s="1640"/>
      <c r="BB162" s="1640"/>
      <c r="BC162" s="1640"/>
      <c r="BD162" s="1640"/>
      <c r="BE162" s="1640"/>
      <c r="BF162" s="1640"/>
      <c r="BG162" s="1640"/>
      <c r="BH162" s="1640"/>
      <c r="BI162" s="1640"/>
      <c r="BJ162" s="1640"/>
      <c r="BK162" s="1640"/>
      <c r="BL162" s="1640"/>
      <c r="BM162" s="1640"/>
      <c r="BN162" s="1640"/>
      <c r="BO162" s="1640"/>
      <c r="BP162" s="1640"/>
      <c r="BQ162" s="1640"/>
      <c r="BR162" s="1640"/>
      <c r="BS162" s="1640"/>
      <c r="BT162" s="1640"/>
      <c r="BU162" s="1640"/>
      <c r="BV162" s="1640"/>
      <c r="BW162" s="1640"/>
      <c r="BX162" s="1640"/>
      <c r="BY162" s="1640"/>
      <c r="BZ162" s="1640"/>
      <c r="CA162" s="1640"/>
      <c r="CB162" s="1640"/>
      <c r="CC162" s="1640"/>
      <c r="CD162" s="1640"/>
      <c r="CE162" s="1640"/>
      <c r="CF162" s="1851"/>
    </row>
    <row customHeight="1" ht="11.25" hidden="1">
      <c r="A163" s="1809"/>
      <c r="B163" s="1164"/>
      <c r="C163" s="416"/>
      <c r="D163" s="2596"/>
      <c r="E163" s="653" t="s">
        <v>22</v>
      </c>
      <c r="F163" s="1172" t="s">
        <v>22</v>
      </c>
      <c r="G163" s="1172" t="s">
        <v>760</v>
      </c>
      <c r="H163" s="655" t="s">
        <v>22</v>
      </c>
      <c r="I163" s="655"/>
      <c r="J163" s="655"/>
      <c r="K163" s="655"/>
      <c r="L163" s="655"/>
      <c r="M163" s="655"/>
      <c r="N163" s="655"/>
      <c r="O163" s="655"/>
      <c r="P163" s="655"/>
      <c r="Q163" s="655"/>
      <c r="R163" s="656"/>
      <c r="S163" s="657"/>
      <c r="T163" s="722"/>
      <c r="U163" s="2391"/>
      <c r="V163" s="2391"/>
      <c r="W163" s="1164"/>
      <c r="X163" s="1164"/>
      <c r="Y163" s="1164"/>
      <c r="Z163" s="1164"/>
      <c r="AA163" s="1640"/>
      <c r="AB163" s="1164"/>
      <c r="AC163" s="2392"/>
      <c r="AD163" s="633"/>
      <c r="AE163" s="1164"/>
      <c r="AF163" s="1164"/>
      <c r="AG163" s="1640"/>
      <c r="AH163" s="1640"/>
      <c r="AI163" s="1640"/>
      <c r="AJ163" s="1640"/>
      <c r="AK163" s="1640"/>
      <c r="AL163" s="1640"/>
      <c r="AM163" s="1640"/>
      <c r="AN163" s="1640"/>
      <c r="AO163" s="1640"/>
      <c r="AP163" s="1640"/>
      <c r="AQ163" s="1640"/>
      <c r="AR163" s="1640"/>
      <c r="AS163" s="1640"/>
      <c r="AT163" s="1640"/>
      <c r="AU163" s="1640"/>
      <c r="AV163" s="1640"/>
      <c r="AW163" s="1640"/>
      <c r="AX163" s="1640"/>
      <c r="AY163" s="1640"/>
      <c r="AZ163" s="1640"/>
      <c r="BA163" s="1640"/>
      <c r="BB163" s="1640"/>
      <c r="BC163" s="1640"/>
      <c r="BD163" s="1640"/>
      <c r="BE163" s="1640"/>
      <c r="BF163" s="1640"/>
      <c r="BG163" s="1640"/>
      <c r="BH163" s="1640"/>
      <c r="BI163" s="1640"/>
      <c r="BJ163" s="1640"/>
      <c r="BK163" s="1640"/>
      <c r="BL163" s="1640"/>
      <c r="BM163" s="1640"/>
      <c r="BN163" s="1640"/>
      <c r="BO163" s="1640"/>
      <c r="BP163" s="1640"/>
      <c r="BQ163" s="1640"/>
      <c r="BR163" s="1640"/>
      <c r="BS163" s="1640"/>
      <c r="BT163" s="1640"/>
      <c r="BU163" s="1640"/>
      <c r="BV163" s="1164"/>
      <c r="BW163" s="1164"/>
      <c r="BX163" s="1164"/>
      <c r="BY163" s="1164"/>
      <c r="BZ163" s="1164"/>
      <c r="CA163" s="1164"/>
      <c r="CB163" s="1164"/>
      <c r="CC163" s="1164"/>
      <c r="CD163" s="1164"/>
      <c r="CE163" s="1164"/>
      <c r="CF163" s="1851"/>
    </row>
    <row customHeight="1" ht="24.75" hidden="1">
      <c r="A164" s="1809"/>
      <c r="B164" s="1164"/>
      <c r="C164" s="416"/>
      <c r="D164" s="2596"/>
      <c r="E164" s="2393" t="s">
        <v>758</v>
      </c>
      <c r="F164" s="2393"/>
      <c r="G164" s="2393"/>
      <c r="H164" s="2393"/>
      <c r="I164" s="2393"/>
      <c r="J164" s="2393"/>
      <c r="K164" s="2393"/>
      <c r="L164" s="2393"/>
      <c r="M164" s="2393"/>
      <c r="N164" s="2393"/>
      <c r="O164" s="2393"/>
      <c r="P164" s="2393"/>
      <c r="Q164" s="562">
        <f>SUMIF(T165:T166,"i",Q165:Q166)</f>
        <v>0</v>
      </c>
      <c r="R164" s="1021"/>
      <c r="S164" s="1801" t="s">
        <v>759</v>
      </c>
      <c r="T164" s="721" t="s">
        <v>757</v>
      </c>
      <c r="U164" s="2391">
        <v>1</v>
      </c>
      <c r="V164" s="2391" t="str">
        <f>INDEX(B_FHD_FLAG_INDEX_2,1,MATCH(A158,B_FHD_FLAG_DIFFERENTIATION,0))</f>
        <v>отсутствует</v>
      </c>
      <c r="W164" s="1164"/>
      <c r="X164" s="1164"/>
      <c r="Y164" s="1164"/>
      <c r="Z164" s="1164"/>
      <c r="AA164" s="1640"/>
      <c r="AB164" s="1164"/>
      <c r="AC164" s="1799"/>
      <c r="AD164" s="633"/>
      <c r="AE164" s="1164"/>
      <c r="AF164" s="1164"/>
      <c r="AG164" s="1640"/>
      <c r="AH164" s="1640"/>
      <c r="AI164" s="1640"/>
      <c r="AJ164" s="1640"/>
      <c r="AK164" s="1640"/>
      <c r="AL164" s="1640"/>
      <c r="AM164" s="1640"/>
      <c r="AN164" s="1640"/>
      <c r="AO164" s="1640"/>
      <c r="AP164" s="1640"/>
      <c r="AQ164" s="1640"/>
      <c r="AR164" s="1640"/>
      <c r="AS164" s="1640"/>
      <c r="AT164" s="1640"/>
      <c r="AU164" s="1640"/>
      <c r="AV164" s="1640"/>
      <c r="AW164" s="1640"/>
      <c r="AX164" s="1640"/>
      <c r="AY164" s="1640"/>
      <c r="AZ164" s="1640"/>
      <c r="BA164" s="1640"/>
      <c r="BB164" s="1640"/>
      <c r="BC164" s="1640"/>
      <c r="BD164" s="1640"/>
      <c r="BE164" s="1640"/>
      <c r="BF164" s="1640"/>
      <c r="BG164" s="1640"/>
      <c r="BH164" s="1640"/>
      <c r="BI164" s="1640"/>
      <c r="BJ164" s="1640"/>
      <c r="BK164" s="1640"/>
      <c r="BL164" s="1640"/>
      <c r="BM164" s="1640"/>
      <c r="BN164" s="1640"/>
      <c r="BO164" s="1640"/>
      <c r="BP164" s="1640"/>
      <c r="BQ164" s="1640"/>
      <c r="BR164" s="1640"/>
      <c r="BS164" s="1640"/>
      <c r="BT164" s="1640"/>
      <c r="BU164" s="1640"/>
      <c r="BV164" s="1164"/>
      <c r="BW164" s="1164"/>
      <c r="BX164" s="1164"/>
      <c r="BY164" s="1164"/>
      <c r="BZ164" s="1164"/>
      <c r="CA164" s="1164"/>
      <c r="CB164" s="1164"/>
      <c r="CC164" s="1164"/>
      <c r="CD164" s="1164"/>
      <c r="CE164" s="1164"/>
      <c r="CF164" s="1851"/>
    </row>
    <row customHeight="1" ht="11.25" hidden="1">
      <c r="A165" s="1796"/>
      <c r="B165" s="1640"/>
      <c r="C165" s="1640"/>
      <c r="D165" s="2596"/>
      <c r="E165" s="639"/>
      <c r="F165" s="639">
        <v>0</v>
      </c>
      <c r="G165" s="639"/>
      <c r="H165" s="639"/>
      <c r="I165" s="639"/>
      <c r="J165" s="639"/>
      <c r="K165" s="639"/>
      <c r="L165" s="639"/>
      <c r="M165" s="639"/>
      <c r="N165" s="639"/>
      <c r="O165" s="639"/>
      <c r="P165" s="639"/>
      <c r="Q165" s="639"/>
      <c r="R165" s="639"/>
      <c r="S165" s="640"/>
      <c r="T165" s="722"/>
      <c r="U165" s="2391"/>
      <c r="V165" s="2391"/>
      <c r="W165" s="1640"/>
      <c r="X165" s="1640"/>
      <c r="Y165" s="1640"/>
      <c r="Z165" s="1640"/>
      <c r="AA165" s="1640"/>
      <c r="AB165" s="1164"/>
      <c r="AC165" s="1799"/>
      <c r="AD165" s="633"/>
      <c r="AE165" s="1164"/>
      <c r="AF165" s="1164"/>
      <c r="AG165" s="1640"/>
      <c r="AH165" s="1640"/>
      <c r="AI165" s="1640"/>
      <c r="AJ165" s="1640"/>
      <c r="AK165" s="1640"/>
      <c r="AL165" s="1640"/>
      <c r="AM165" s="1640"/>
      <c r="AN165" s="1640"/>
      <c r="AO165" s="1640"/>
      <c r="AP165" s="1640"/>
      <c r="AQ165" s="1640"/>
      <c r="AR165" s="1640"/>
      <c r="AS165" s="1640"/>
      <c r="AT165" s="1640"/>
      <c r="AU165" s="1640"/>
      <c r="AV165" s="1640"/>
      <c r="AW165" s="1640"/>
      <c r="AX165" s="1640"/>
      <c r="AY165" s="1640"/>
      <c r="AZ165" s="1640"/>
      <c r="BA165" s="1640"/>
      <c r="BB165" s="1640"/>
      <c r="BC165" s="1640"/>
      <c r="BD165" s="1640"/>
      <c r="BE165" s="1640"/>
      <c r="BF165" s="1640"/>
      <c r="BG165" s="1640"/>
      <c r="BH165" s="1640"/>
      <c r="BI165" s="1640"/>
      <c r="BJ165" s="1640"/>
      <c r="BK165" s="1640"/>
      <c r="BL165" s="1640"/>
      <c r="BM165" s="1640"/>
      <c r="BN165" s="1640"/>
      <c r="BO165" s="1640"/>
      <c r="BP165" s="1640"/>
      <c r="BQ165" s="1640"/>
      <c r="BR165" s="1640"/>
      <c r="BS165" s="1640"/>
      <c r="BT165" s="1640"/>
      <c r="BU165" s="1640"/>
      <c r="BV165" s="1640"/>
      <c r="BW165" s="1640"/>
      <c r="BX165" s="1640"/>
      <c r="BY165" s="1640"/>
      <c r="BZ165" s="1640"/>
      <c r="CA165" s="1640"/>
      <c r="CB165" s="1640"/>
      <c r="CC165" s="1640"/>
      <c r="CD165" s="1640"/>
      <c r="CE165" s="1640"/>
      <c r="CF165" s="1851"/>
    </row>
    <row customHeight="1" ht="11.25" hidden="1">
      <c r="A166" s="1809"/>
      <c r="B166" s="1164"/>
      <c r="C166" s="416"/>
      <c r="D166" s="2597"/>
      <c r="E166" s="653" t="s">
        <v>22</v>
      </c>
      <c r="F166" s="1172" t="s">
        <v>22</v>
      </c>
      <c r="G166" s="1172" t="s">
        <v>760</v>
      </c>
      <c r="H166" s="655" t="s">
        <v>22</v>
      </c>
      <c r="I166" s="655"/>
      <c r="J166" s="655"/>
      <c r="K166" s="655"/>
      <c r="L166" s="655"/>
      <c r="M166" s="655"/>
      <c r="N166" s="655"/>
      <c r="O166" s="655"/>
      <c r="P166" s="655"/>
      <c r="Q166" s="655"/>
      <c r="R166" s="656"/>
      <c r="S166" s="657"/>
      <c r="T166" s="722"/>
      <c r="U166" s="2391"/>
      <c r="V166" s="2391"/>
      <c r="W166" s="1164"/>
      <c r="X166" s="1164"/>
      <c r="Y166" s="1164"/>
      <c r="Z166" s="1164"/>
      <c r="AA166" s="1640"/>
      <c r="AB166" s="1164"/>
      <c r="AC166" s="1799"/>
      <c r="AD166" s="633"/>
      <c r="AE166" s="1164"/>
      <c r="AF166" s="1164"/>
      <c r="AG166" s="1640"/>
      <c r="AH166" s="1640"/>
      <c r="AI166" s="1640"/>
      <c r="AJ166" s="1640"/>
      <c r="AK166" s="1640"/>
      <c r="AL166" s="1640"/>
      <c r="AM166" s="1640"/>
      <c r="AN166" s="1640"/>
      <c r="AO166" s="1640"/>
      <c r="AP166" s="1640"/>
      <c r="AQ166" s="1640"/>
      <c r="AR166" s="1640"/>
      <c r="AS166" s="1640"/>
      <c r="AT166" s="1640"/>
      <c r="AU166" s="1640"/>
      <c r="AV166" s="1640"/>
      <c r="AW166" s="1640"/>
      <c r="AX166" s="1640"/>
      <c r="AY166" s="1640"/>
      <c r="AZ166" s="1640"/>
      <c r="BA166" s="1640"/>
      <c r="BB166" s="1640"/>
      <c r="BC166" s="1640"/>
      <c r="BD166" s="1640"/>
      <c r="BE166" s="1640"/>
      <c r="BF166" s="1640"/>
      <c r="BG166" s="1640"/>
      <c r="BH166" s="1640"/>
      <c r="BI166" s="1640"/>
      <c r="BJ166" s="1640"/>
      <c r="BK166" s="1640"/>
      <c r="BL166" s="1640"/>
      <c r="BM166" s="1640"/>
      <c r="BN166" s="1640"/>
      <c r="BO166" s="1640"/>
      <c r="BP166" s="1640"/>
      <c r="BQ166" s="1640"/>
      <c r="BR166" s="1640"/>
      <c r="BS166" s="1640"/>
      <c r="BT166" s="1640"/>
      <c r="BU166" s="1640"/>
      <c r="BV166" s="1164"/>
      <c r="BW166" s="1164"/>
      <c r="BX166" s="1164"/>
      <c r="BY166" s="1164"/>
      <c r="BZ166" s="1164"/>
      <c r="CA166" s="1164"/>
      <c r="CB166" s="1164"/>
      <c r="CC166" s="1164"/>
      <c r="CD166" s="1164"/>
      <c r="CE166" s="1164"/>
      <c r="CF166" s="1851"/>
    </row>
    <row customHeight="1" ht="15" hidden="1">
      <c r="A167" s="627" t="s">
        <v>217</v>
      </c>
      <c r="B167" s="628"/>
      <c r="C167" s="628" t="s">
        <v>22</v>
      </c>
      <c r="D167" s="2595" t="s">
        <v>776</v>
      </c>
      <c r="E167" s="2394" t="s">
        <v>173</v>
      </c>
      <c r="F167" s="2395"/>
      <c r="G167" s="2396"/>
      <c r="H167" s="2400" t="str">
        <f>IF(A167="","",INDEX(DIFFERENTIATION_UNMERGE_VD,MATCH(A167,DIFFERENTIATION_ID_DIFF,0)))</f>
        <v>Холодное водоснабжение. Питьевая вода</v>
      </c>
      <c r="I167" s="2400"/>
      <c r="J167" s="2400"/>
      <c r="K167" s="2400"/>
      <c r="L167" s="2400"/>
      <c r="M167" s="2400"/>
      <c r="N167" s="2400"/>
      <c r="O167" s="2400"/>
      <c r="P167" s="2400"/>
      <c r="Q167" s="2400"/>
      <c r="R167" s="2400"/>
      <c r="S167" s="723"/>
      <c r="T167" s="720"/>
      <c r="U167" s="629"/>
      <c r="V167" s="629"/>
      <c r="W167" s="630"/>
      <c r="X167" s="630"/>
      <c r="Y167" s="630"/>
      <c r="Z167" s="630"/>
      <c r="AA167" s="631"/>
      <c r="AB167" s="632"/>
      <c r="AC167" s="2392"/>
      <c r="AD167" s="633"/>
      <c r="AE167" s="634" t="s">
        <v>22</v>
      </c>
      <c r="AF167" s="634"/>
      <c r="AG167" s="635" t="s">
        <v>754</v>
      </c>
      <c r="AH167" s="636">
        <v>3</v>
      </c>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30"/>
      <c r="BW167" s="630"/>
      <c r="BX167" s="630"/>
      <c r="BY167" s="630"/>
      <c r="BZ167" s="630"/>
      <c r="CA167" s="630"/>
      <c r="CB167" s="630"/>
      <c r="CC167" s="630"/>
      <c r="CD167" s="630"/>
      <c r="CE167" s="630"/>
      <c r="CF167" s="1851"/>
    </row>
    <row customHeight="1" ht="15" hidden="1">
      <c r="A168" s="627"/>
      <c r="B168" s="628"/>
      <c r="C168" s="628"/>
      <c r="D168" s="2596"/>
      <c r="E168" s="2394" t="s">
        <v>702</v>
      </c>
      <c r="F168" s="2395"/>
      <c r="G168" s="2396"/>
      <c r="H168" s="2400" t="str">
        <f>IF(A167="","",INDEX(DIFFERENTIATION_UNMERGE_AREA,MATCH(A167,DIFFERENTIATION_ID_DIFF,0)))</f>
        <v>Территория 8</v>
      </c>
      <c r="I168" s="2400"/>
      <c r="J168" s="2400"/>
      <c r="K168" s="2400"/>
      <c r="L168" s="2400"/>
      <c r="M168" s="2400"/>
      <c r="N168" s="2400"/>
      <c r="O168" s="2400"/>
      <c r="P168" s="2400"/>
      <c r="Q168" s="2400"/>
      <c r="R168" s="2400"/>
      <c r="S168" s="723"/>
      <c r="T168" s="720"/>
      <c r="U168" s="629"/>
      <c r="V168" s="629"/>
      <c r="W168" s="630"/>
      <c r="X168" s="630"/>
      <c r="Y168" s="630"/>
      <c r="Z168" s="630"/>
      <c r="AA168" s="631"/>
      <c r="AB168" s="632"/>
      <c r="AC168" s="2392"/>
      <c r="AD168" s="633"/>
      <c r="AE168" s="634"/>
      <c r="AF168" s="634"/>
      <c r="AG168" s="635"/>
      <c r="AH168" s="636"/>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30"/>
      <c r="BW168" s="630"/>
      <c r="BX168" s="630"/>
      <c r="BY168" s="630"/>
      <c r="BZ168" s="630"/>
      <c r="CA168" s="630"/>
      <c r="CB168" s="630"/>
      <c r="CC168" s="630"/>
      <c r="CD168" s="630"/>
      <c r="CE168" s="630"/>
      <c r="CF168" s="1851"/>
    </row>
    <row customHeight="1" ht="15" hidden="1">
      <c r="A169" s="627"/>
      <c r="B169" s="628"/>
      <c r="C169" s="628"/>
      <c r="D169" s="2596"/>
      <c r="E169" s="2394" t="s">
        <v>703</v>
      </c>
      <c r="F169" s="2395"/>
      <c r="G169" s="2396"/>
      <c r="H169" s="2400" t="str">
        <f>IF(A167="","",INDEX(DIFFERENTIATION_UNMERGE_SYSTEM,MATCH(A167,DIFFERENTIATION_ID_DIFF,0)))</f>
        <v>Централизованная система водоснабжения Дмитриевского сельского поселения</v>
      </c>
      <c r="I169" s="2400"/>
      <c r="J169" s="2400"/>
      <c r="K169" s="2400"/>
      <c r="L169" s="2400"/>
      <c r="M169" s="2400"/>
      <c r="N169" s="2400"/>
      <c r="O169" s="2400"/>
      <c r="P169" s="2400"/>
      <c r="Q169" s="2400"/>
      <c r="R169" s="2400"/>
      <c r="S169" s="723"/>
      <c r="T169" s="720"/>
      <c r="U169" s="629"/>
      <c r="V169" s="629"/>
      <c r="W169" s="630"/>
      <c r="X169" s="630"/>
      <c r="Y169" s="630"/>
      <c r="Z169" s="630"/>
      <c r="AA169" s="631"/>
      <c r="AB169" s="632"/>
      <c r="AC169" s="2392"/>
      <c r="AD169" s="633"/>
      <c r="AE169" s="634"/>
      <c r="AF169" s="634"/>
      <c r="AG169" s="635"/>
      <c r="AH169" s="636"/>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30"/>
      <c r="BW169" s="630"/>
      <c r="BX169" s="630"/>
      <c r="BY169" s="630"/>
      <c r="BZ169" s="630"/>
      <c r="CA169" s="630"/>
      <c r="CB169" s="630"/>
      <c r="CC169" s="630"/>
      <c r="CD169" s="630"/>
      <c r="CE169" s="630"/>
      <c r="CF169" s="1851"/>
    </row>
    <row customHeight="1" ht="24.75" hidden="1">
      <c r="A170" s="1809"/>
      <c r="B170" s="1164"/>
      <c r="C170" s="416"/>
      <c r="D170" s="2596"/>
      <c r="E170" s="2393" t="s">
        <v>755</v>
      </c>
      <c r="F170" s="2393"/>
      <c r="G170" s="2393"/>
      <c r="H170" s="2393"/>
      <c r="I170" s="2393"/>
      <c r="J170" s="2393"/>
      <c r="K170" s="2393"/>
      <c r="L170" s="2393"/>
      <c r="M170" s="2393"/>
      <c r="N170" s="2393"/>
      <c r="O170" s="2393"/>
      <c r="P170" s="2393"/>
      <c r="Q170" s="562">
        <f>SUMIF(T171:T172,"i",Q171:Q172)</f>
        <v>0</v>
      </c>
      <c r="R170" s="1021"/>
      <c r="S170" s="1801" t="s">
        <v>756</v>
      </c>
      <c r="T170" s="721" t="s">
        <v>757</v>
      </c>
      <c r="U170" s="2391">
        <v>1</v>
      </c>
      <c r="V170" s="2391" t="str">
        <f>INDEX(B_FHD_FLAG_INDEX_1,1,MATCH(A167,B_FHD_FLAG_DIFFERENTIATION,0))</f>
        <v>отсутствует</v>
      </c>
      <c r="W170" s="1164"/>
      <c r="X170" s="1164"/>
      <c r="Y170" s="1164"/>
      <c r="Z170" s="1164"/>
      <c r="AA170" s="1640"/>
      <c r="AB170" s="1164"/>
      <c r="AC170" s="2392"/>
      <c r="AD170" s="633"/>
      <c r="AE170" s="1164"/>
      <c r="AF170" s="1164"/>
      <c r="AG170" s="1640"/>
      <c r="AH170" s="1640"/>
      <c r="AI170" s="1640"/>
      <c r="AJ170" s="1640"/>
      <c r="AK170" s="1640"/>
      <c r="AL170" s="1640"/>
      <c r="AM170" s="1640"/>
      <c r="AN170" s="1640"/>
      <c r="AO170" s="1640"/>
      <c r="AP170" s="1640"/>
      <c r="AQ170" s="1640"/>
      <c r="AR170" s="1640"/>
      <c r="AS170" s="1640"/>
      <c r="AT170" s="1640"/>
      <c r="AU170" s="1640"/>
      <c r="AV170" s="1640"/>
      <c r="AW170" s="1640"/>
      <c r="AX170" s="1640"/>
      <c r="AY170" s="1640"/>
      <c r="AZ170" s="1640"/>
      <c r="BA170" s="1640"/>
      <c r="BB170" s="1640"/>
      <c r="BC170" s="1640"/>
      <c r="BD170" s="1640"/>
      <c r="BE170" s="1640"/>
      <c r="BF170" s="1640"/>
      <c r="BG170" s="1640"/>
      <c r="BH170" s="1640"/>
      <c r="BI170" s="1640"/>
      <c r="BJ170" s="1640"/>
      <c r="BK170" s="1640"/>
      <c r="BL170" s="1640"/>
      <c r="BM170" s="1640"/>
      <c r="BN170" s="1640"/>
      <c r="BO170" s="1640"/>
      <c r="BP170" s="1640"/>
      <c r="BQ170" s="1640"/>
      <c r="BR170" s="1640"/>
      <c r="BS170" s="1640"/>
      <c r="BT170" s="1640"/>
      <c r="BU170" s="1640"/>
      <c r="BV170" s="1164"/>
      <c r="BW170" s="1164"/>
      <c r="BX170" s="1164"/>
      <c r="BY170" s="1164"/>
      <c r="BZ170" s="1164"/>
      <c r="CA170" s="1164"/>
      <c r="CB170" s="1164"/>
      <c r="CC170" s="1164"/>
      <c r="CD170" s="1164"/>
      <c r="CE170" s="1164"/>
      <c r="CF170" s="1851"/>
    </row>
    <row customHeight="1" ht="11.25" hidden="1">
      <c r="A171" s="1796"/>
      <c r="B171" s="1640"/>
      <c r="C171" s="1640"/>
      <c r="D171" s="2596"/>
      <c r="E171" s="639"/>
      <c r="F171" s="639">
        <v>0</v>
      </c>
      <c r="G171" s="639"/>
      <c r="H171" s="639"/>
      <c r="I171" s="639"/>
      <c r="J171" s="639"/>
      <c r="K171" s="639"/>
      <c r="L171" s="639"/>
      <c r="M171" s="639"/>
      <c r="N171" s="639"/>
      <c r="O171" s="639"/>
      <c r="P171" s="639"/>
      <c r="Q171" s="639"/>
      <c r="R171" s="639"/>
      <c r="S171" s="640"/>
      <c r="T171" s="722"/>
      <c r="U171" s="2391"/>
      <c r="V171" s="2391"/>
      <c r="W171" s="1640"/>
      <c r="X171" s="1640"/>
      <c r="Y171" s="1640"/>
      <c r="Z171" s="1640"/>
      <c r="AA171" s="1640"/>
      <c r="AB171" s="1164"/>
      <c r="AC171" s="2392"/>
      <c r="AD171" s="633"/>
      <c r="AE171" s="1164"/>
      <c r="AF171" s="1164"/>
      <c r="AG171" s="1640"/>
      <c r="AH171" s="1640"/>
      <c r="AI171" s="1640"/>
      <c r="AJ171" s="1640"/>
      <c r="AK171" s="1640"/>
      <c r="AL171" s="1640"/>
      <c r="AM171" s="1640"/>
      <c r="AN171" s="1640"/>
      <c r="AO171" s="1640"/>
      <c r="AP171" s="1640"/>
      <c r="AQ171" s="1640"/>
      <c r="AR171" s="1640"/>
      <c r="AS171" s="1640"/>
      <c r="AT171" s="1640"/>
      <c r="AU171" s="1640"/>
      <c r="AV171" s="1640"/>
      <c r="AW171" s="1640"/>
      <c r="AX171" s="1640"/>
      <c r="AY171" s="1640"/>
      <c r="AZ171" s="1640"/>
      <c r="BA171" s="1640"/>
      <c r="BB171" s="1640"/>
      <c r="BC171" s="1640"/>
      <c r="BD171" s="1640"/>
      <c r="BE171" s="1640"/>
      <c r="BF171" s="1640"/>
      <c r="BG171" s="1640"/>
      <c r="BH171" s="1640"/>
      <c r="BI171" s="1640"/>
      <c r="BJ171" s="1640"/>
      <c r="BK171" s="1640"/>
      <c r="BL171" s="1640"/>
      <c r="BM171" s="1640"/>
      <c r="BN171" s="1640"/>
      <c r="BO171" s="1640"/>
      <c r="BP171" s="1640"/>
      <c r="BQ171" s="1640"/>
      <c r="BR171" s="1640"/>
      <c r="BS171" s="1640"/>
      <c r="BT171" s="1640"/>
      <c r="BU171" s="1640"/>
      <c r="BV171" s="1640"/>
      <c r="BW171" s="1640"/>
      <c r="BX171" s="1640"/>
      <c r="BY171" s="1640"/>
      <c r="BZ171" s="1640"/>
      <c r="CA171" s="1640"/>
      <c r="CB171" s="1640"/>
      <c r="CC171" s="1640"/>
      <c r="CD171" s="1640"/>
      <c r="CE171" s="1640"/>
      <c r="CF171" s="1851"/>
    </row>
    <row customHeight="1" ht="11.25" hidden="1">
      <c r="A172" s="1809"/>
      <c r="B172" s="1164"/>
      <c r="C172" s="416"/>
      <c r="D172" s="2596"/>
      <c r="E172" s="653" t="s">
        <v>22</v>
      </c>
      <c r="F172" s="1172" t="s">
        <v>22</v>
      </c>
      <c r="G172" s="1172" t="s">
        <v>760</v>
      </c>
      <c r="H172" s="655" t="s">
        <v>22</v>
      </c>
      <c r="I172" s="655"/>
      <c r="J172" s="655"/>
      <c r="K172" s="655"/>
      <c r="L172" s="655"/>
      <c r="M172" s="655"/>
      <c r="N172" s="655"/>
      <c r="O172" s="655"/>
      <c r="P172" s="655"/>
      <c r="Q172" s="655"/>
      <c r="R172" s="656"/>
      <c r="S172" s="657"/>
      <c r="T172" s="722"/>
      <c r="U172" s="2391"/>
      <c r="V172" s="2391"/>
      <c r="W172" s="1164"/>
      <c r="X172" s="1164"/>
      <c r="Y172" s="1164"/>
      <c r="Z172" s="1164"/>
      <c r="AA172" s="1640"/>
      <c r="AB172" s="1164"/>
      <c r="AC172" s="2392"/>
      <c r="AD172" s="633"/>
      <c r="AE172" s="1164"/>
      <c r="AF172" s="1164"/>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1640"/>
      <c r="AZ172" s="1640"/>
      <c r="BA172" s="1640"/>
      <c r="BB172" s="1640"/>
      <c r="BC172" s="1640"/>
      <c r="BD172" s="1640"/>
      <c r="BE172" s="1640"/>
      <c r="BF172" s="1640"/>
      <c r="BG172" s="1640"/>
      <c r="BH172" s="1640"/>
      <c r="BI172" s="1640"/>
      <c r="BJ172" s="1640"/>
      <c r="BK172" s="1640"/>
      <c r="BL172" s="1640"/>
      <c r="BM172" s="1640"/>
      <c r="BN172" s="1640"/>
      <c r="BO172" s="1640"/>
      <c r="BP172" s="1640"/>
      <c r="BQ172" s="1640"/>
      <c r="BR172" s="1640"/>
      <c r="BS172" s="1640"/>
      <c r="BT172" s="1640"/>
      <c r="BU172" s="1640"/>
      <c r="BV172" s="1164"/>
      <c r="BW172" s="1164"/>
      <c r="BX172" s="1164"/>
      <c r="BY172" s="1164"/>
      <c r="BZ172" s="1164"/>
      <c r="CA172" s="1164"/>
      <c r="CB172" s="1164"/>
      <c r="CC172" s="1164"/>
      <c r="CD172" s="1164"/>
      <c r="CE172" s="1164"/>
      <c r="CF172" s="1851"/>
    </row>
    <row customHeight="1" ht="24.75" hidden="1">
      <c r="A173" s="1809"/>
      <c r="B173" s="1164"/>
      <c r="C173" s="416"/>
      <c r="D173" s="2596"/>
      <c r="E173" s="2393" t="s">
        <v>758</v>
      </c>
      <c r="F173" s="2393"/>
      <c r="G173" s="2393"/>
      <c r="H173" s="2393"/>
      <c r="I173" s="2393"/>
      <c r="J173" s="2393"/>
      <c r="K173" s="2393"/>
      <c r="L173" s="2393"/>
      <c r="M173" s="2393"/>
      <c r="N173" s="2393"/>
      <c r="O173" s="2393"/>
      <c r="P173" s="2393"/>
      <c r="Q173" s="562">
        <f>SUMIF(T174:T175,"i",Q174:Q175)</f>
        <v>0</v>
      </c>
      <c r="R173" s="1021"/>
      <c r="S173" s="1801" t="s">
        <v>759</v>
      </c>
      <c r="T173" s="721" t="s">
        <v>757</v>
      </c>
      <c r="U173" s="2391">
        <v>1</v>
      </c>
      <c r="V173" s="2391" t="str">
        <f>INDEX(B_FHD_FLAG_INDEX_2,1,MATCH(A167,B_FHD_FLAG_DIFFERENTIATION,0))</f>
        <v>отсутствует</v>
      </c>
      <c r="W173" s="1164"/>
      <c r="X173" s="1164"/>
      <c r="Y173" s="1164"/>
      <c r="Z173" s="1164"/>
      <c r="AA173" s="1640"/>
      <c r="AB173" s="1164"/>
      <c r="AC173" s="1799"/>
      <c r="AD173" s="633"/>
      <c r="AE173" s="1164"/>
      <c r="AF173" s="1164"/>
      <c r="AG173" s="1640"/>
      <c r="AH173" s="1640"/>
      <c r="AI173" s="1640"/>
      <c r="AJ173" s="1640"/>
      <c r="AK173" s="1640"/>
      <c r="AL173" s="1640"/>
      <c r="AM173" s="1640"/>
      <c r="AN173" s="1640"/>
      <c r="AO173" s="1640"/>
      <c r="AP173" s="1640"/>
      <c r="AQ173" s="1640"/>
      <c r="AR173" s="1640"/>
      <c r="AS173" s="1640"/>
      <c r="AT173" s="1640"/>
      <c r="AU173" s="1640"/>
      <c r="AV173" s="1640"/>
      <c r="AW173" s="1640"/>
      <c r="AX173" s="1640"/>
      <c r="AY173" s="1640"/>
      <c r="AZ173" s="1640"/>
      <c r="BA173" s="1640"/>
      <c r="BB173" s="1640"/>
      <c r="BC173" s="1640"/>
      <c r="BD173" s="1640"/>
      <c r="BE173" s="1640"/>
      <c r="BF173" s="1640"/>
      <c r="BG173" s="1640"/>
      <c r="BH173" s="1640"/>
      <c r="BI173" s="1640"/>
      <c r="BJ173" s="1640"/>
      <c r="BK173" s="1640"/>
      <c r="BL173" s="1640"/>
      <c r="BM173" s="1640"/>
      <c r="BN173" s="1640"/>
      <c r="BO173" s="1640"/>
      <c r="BP173" s="1640"/>
      <c r="BQ173" s="1640"/>
      <c r="BR173" s="1640"/>
      <c r="BS173" s="1640"/>
      <c r="BT173" s="1640"/>
      <c r="BU173" s="1640"/>
      <c r="BV173" s="1164"/>
      <c r="BW173" s="1164"/>
      <c r="BX173" s="1164"/>
      <c r="BY173" s="1164"/>
      <c r="BZ173" s="1164"/>
      <c r="CA173" s="1164"/>
      <c r="CB173" s="1164"/>
      <c r="CC173" s="1164"/>
      <c r="CD173" s="1164"/>
      <c r="CE173" s="1164"/>
      <c r="CF173" s="1851"/>
    </row>
    <row customHeight="1" ht="11.25" hidden="1">
      <c r="A174" s="1796"/>
      <c r="B174" s="1640"/>
      <c r="C174" s="1640"/>
      <c r="D174" s="2596"/>
      <c r="E174" s="639"/>
      <c r="F174" s="639">
        <v>0</v>
      </c>
      <c r="G174" s="639"/>
      <c r="H174" s="639"/>
      <c r="I174" s="639"/>
      <c r="J174" s="639"/>
      <c r="K174" s="639"/>
      <c r="L174" s="639"/>
      <c r="M174" s="639"/>
      <c r="N174" s="639"/>
      <c r="O174" s="639"/>
      <c r="P174" s="639"/>
      <c r="Q174" s="639"/>
      <c r="R174" s="639"/>
      <c r="S174" s="640"/>
      <c r="T174" s="722"/>
      <c r="U174" s="2391"/>
      <c r="V174" s="2391"/>
      <c r="W174" s="1640"/>
      <c r="X174" s="1640"/>
      <c r="Y174" s="1640"/>
      <c r="Z174" s="1640"/>
      <c r="AA174" s="1640"/>
      <c r="AB174" s="1164"/>
      <c r="AC174" s="1799"/>
      <c r="AD174" s="633"/>
      <c r="AE174" s="1164"/>
      <c r="AF174" s="1164"/>
      <c r="AG174" s="1640"/>
      <c r="AH174" s="1640"/>
      <c r="AI174" s="1640"/>
      <c r="AJ174" s="1640"/>
      <c r="AK174" s="1640"/>
      <c r="AL174" s="1640"/>
      <c r="AM174" s="1640"/>
      <c r="AN174" s="1640"/>
      <c r="AO174" s="1640"/>
      <c r="AP174" s="1640"/>
      <c r="AQ174" s="1640"/>
      <c r="AR174" s="1640"/>
      <c r="AS174" s="1640"/>
      <c r="AT174" s="1640"/>
      <c r="AU174" s="1640"/>
      <c r="AV174" s="1640"/>
      <c r="AW174" s="1640"/>
      <c r="AX174" s="1640"/>
      <c r="AY174" s="1640"/>
      <c r="AZ174" s="1640"/>
      <c r="BA174" s="1640"/>
      <c r="BB174" s="1640"/>
      <c r="BC174" s="1640"/>
      <c r="BD174" s="1640"/>
      <c r="BE174" s="1640"/>
      <c r="BF174" s="1640"/>
      <c r="BG174" s="1640"/>
      <c r="BH174" s="1640"/>
      <c r="BI174" s="1640"/>
      <c r="BJ174" s="1640"/>
      <c r="BK174" s="1640"/>
      <c r="BL174" s="1640"/>
      <c r="BM174" s="1640"/>
      <c r="BN174" s="1640"/>
      <c r="BO174" s="1640"/>
      <c r="BP174" s="1640"/>
      <c r="BQ174" s="1640"/>
      <c r="BR174" s="1640"/>
      <c r="BS174" s="1640"/>
      <c r="BT174" s="1640"/>
      <c r="BU174" s="1640"/>
      <c r="BV174" s="1640"/>
      <c r="BW174" s="1640"/>
      <c r="BX174" s="1640"/>
      <c r="BY174" s="1640"/>
      <c r="BZ174" s="1640"/>
      <c r="CA174" s="1640"/>
      <c r="CB174" s="1640"/>
      <c r="CC174" s="1640"/>
      <c r="CD174" s="1640"/>
      <c r="CE174" s="1640"/>
      <c r="CF174" s="1851"/>
    </row>
    <row customHeight="1" ht="11.25" hidden="1">
      <c r="A175" s="1809"/>
      <c r="B175" s="1164"/>
      <c r="C175" s="416"/>
      <c r="D175" s="2597"/>
      <c r="E175" s="653" t="s">
        <v>22</v>
      </c>
      <c r="F175" s="1172" t="s">
        <v>22</v>
      </c>
      <c r="G175" s="1172" t="s">
        <v>760</v>
      </c>
      <c r="H175" s="655" t="s">
        <v>22</v>
      </c>
      <c r="I175" s="655"/>
      <c r="J175" s="655"/>
      <c r="K175" s="655"/>
      <c r="L175" s="655"/>
      <c r="M175" s="655"/>
      <c r="N175" s="655"/>
      <c r="O175" s="655"/>
      <c r="P175" s="655"/>
      <c r="Q175" s="655"/>
      <c r="R175" s="656"/>
      <c r="S175" s="657"/>
      <c r="T175" s="722"/>
      <c r="U175" s="2391"/>
      <c r="V175" s="2391"/>
      <c r="W175" s="1164"/>
      <c r="X175" s="1164"/>
      <c r="Y175" s="1164"/>
      <c r="Z175" s="1164"/>
      <c r="AA175" s="1640"/>
      <c r="AB175" s="1164"/>
      <c r="AC175" s="1799"/>
      <c r="AD175" s="633"/>
      <c r="AE175" s="1164"/>
      <c r="AF175" s="1164"/>
      <c r="AG175" s="1640"/>
      <c r="AH175" s="1640"/>
      <c r="AI175" s="1640"/>
      <c r="AJ175" s="1640"/>
      <c r="AK175" s="1640"/>
      <c r="AL175" s="1640"/>
      <c r="AM175" s="1640"/>
      <c r="AN175" s="1640"/>
      <c r="AO175" s="1640"/>
      <c r="AP175" s="1640"/>
      <c r="AQ175" s="1640"/>
      <c r="AR175" s="1640"/>
      <c r="AS175" s="1640"/>
      <c r="AT175" s="1640"/>
      <c r="AU175" s="1640"/>
      <c r="AV175" s="1640"/>
      <c r="AW175" s="1640"/>
      <c r="AX175" s="1640"/>
      <c r="AY175" s="1640"/>
      <c r="AZ175" s="1640"/>
      <c r="BA175" s="1640"/>
      <c r="BB175" s="1640"/>
      <c r="BC175" s="1640"/>
      <c r="BD175" s="1640"/>
      <c r="BE175" s="1640"/>
      <c r="BF175" s="1640"/>
      <c r="BG175" s="1640"/>
      <c r="BH175" s="1640"/>
      <c r="BI175" s="1640"/>
      <c r="BJ175" s="1640"/>
      <c r="BK175" s="1640"/>
      <c r="BL175" s="1640"/>
      <c r="BM175" s="1640"/>
      <c r="BN175" s="1640"/>
      <c r="BO175" s="1640"/>
      <c r="BP175" s="1640"/>
      <c r="BQ175" s="1640"/>
      <c r="BR175" s="1640"/>
      <c r="BS175" s="1640"/>
      <c r="BT175" s="1640"/>
      <c r="BU175" s="1640"/>
      <c r="BV175" s="1164"/>
      <c r="BW175" s="1164"/>
      <c r="BX175" s="1164"/>
      <c r="BY175" s="1164"/>
      <c r="BZ175" s="1164"/>
      <c r="CA175" s="1164"/>
      <c r="CB175" s="1164"/>
      <c r="CC175" s="1164"/>
      <c r="CD175" s="1164"/>
      <c r="CE175" s="1164"/>
      <c r="CF175" s="1851"/>
    </row>
    <row customHeight="1" ht="15" hidden="1">
      <c r="A176" s="627" t="s">
        <v>225</v>
      </c>
      <c r="B176" s="628"/>
      <c r="C176" s="628" t="s">
        <v>22</v>
      </c>
      <c r="D176" s="2595" t="s">
        <v>777</v>
      </c>
      <c r="E176" s="2394" t="s">
        <v>173</v>
      </c>
      <c r="F176" s="2395"/>
      <c r="G176" s="2396"/>
      <c r="H176" s="2400" t="str">
        <f>IF(A176="","",INDEX(DIFFERENTIATION_UNMERGE_VD,MATCH(A176,DIFFERENTIATION_ID_DIFF,0)))</f>
        <v>Холодное водоснабжение. Питьевая вода</v>
      </c>
      <c r="I176" s="2400"/>
      <c r="J176" s="2400"/>
      <c r="K176" s="2400"/>
      <c r="L176" s="2400"/>
      <c r="M176" s="2400"/>
      <c r="N176" s="2400"/>
      <c r="O176" s="2400"/>
      <c r="P176" s="2400"/>
      <c r="Q176" s="2400"/>
      <c r="R176" s="2400"/>
      <c r="S176" s="723"/>
      <c r="T176" s="720"/>
      <c r="U176" s="629"/>
      <c r="V176" s="629"/>
      <c r="W176" s="630"/>
      <c r="X176" s="630"/>
      <c r="Y176" s="630"/>
      <c r="Z176" s="630"/>
      <c r="AA176" s="631"/>
      <c r="AB176" s="632"/>
      <c r="AC176" s="2392"/>
      <c r="AD176" s="633"/>
      <c r="AE176" s="634" t="s">
        <v>22</v>
      </c>
      <c r="AF176" s="634"/>
      <c r="AG176" s="635" t="s">
        <v>754</v>
      </c>
      <c r="AH176" s="636">
        <v>3</v>
      </c>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30"/>
      <c r="BW176" s="630"/>
      <c r="BX176" s="630"/>
      <c r="BY176" s="630"/>
      <c r="BZ176" s="630"/>
      <c r="CA176" s="630"/>
      <c r="CB176" s="630"/>
      <c r="CC176" s="630"/>
      <c r="CD176" s="630"/>
      <c r="CE176" s="630"/>
      <c r="CF176" s="1851"/>
    </row>
    <row customHeight="1" ht="15" hidden="1">
      <c r="A177" s="627"/>
      <c r="B177" s="628"/>
      <c r="C177" s="628"/>
      <c r="D177" s="2596"/>
      <c r="E177" s="2394" t="s">
        <v>702</v>
      </c>
      <c r="F177" s="2395"/>
      <c r="G177" s="2396"/>
      <c r="H177" s="2400" t="str">
        <f>IF(A176="","",INDEX(DIFFERENTIATION_UNMERGE_AREA,MATCH(A176,DIFFERENTIATION_ID_DIFF,0)))</f>
        <v>Территория 9</v>
      </c>
      <c r="I177" s="2400"/>
      <c r="J177" s="2400"/>
      <c r="K177" s="2400"/>
      <c r="L177" s="2400"/>
      <c r="M177" s="2400"/>
      <c r="N177" s="2400"/>
      <c r="O177" s="2400"/>
      <c r="P177" s="2400"/>
      <c r="Q177" s="2400"/>
      <c r="R177" s="2400"/>
      <c r="S177" s="723"/>
      <c r="T177" s="720"/>
      <c r="U177" s="629"/>
      <c r="V177" s="629"/>
      <c r="W177" s="630"/>
      <c r="X177" s="630"/>
      <c r="Y177" s="630"/>
      <c r="Z177" s="630"/>
      <c r="AA177" s="631"/>
      <c r="AB177" s="632"/>
      <c r="AC177" s="2392"/>
      <c r="AD177" s="633"/>
      <c r="AE177" s="634"/>
      <c r="AF177" s="634"/>
      <c r="AG177" s="635"/>
      <c r="AH177" s="636"/>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30"/>
      <c r="BW177" s="630"/>
      <c r="BX177" s="630"/>
      <c r="BY177" s="630"/>
      <c r="BZ177" s="630"/>
      <c r="CA177" s="630"/>
      <c r="CB177" s="630"/>
      <c r="CC177" s="630"/>
      <c r="CD177" s="630"/>
      <c r="CE177" s="630"/>
      <c r="CF177" s="1851"/>
    </row>
    <row customHeight="1" ht="15" hidden="1">
      <c r="A178" s="627"/>
      <c r="B178" s="628"/>
      <c r="C178" s="628"/>
      <c r="D178" s="2596"/>
      <c r="E178" s="2394" t="s">
        <v>703</v>
      </c>
      <c r="F178" s="2395"/>
      <c r="G178" s="2396"/>
      <c r="H178" s="2400" t="str">
        <f>IF(A176="","",INDEX(DIFFERENTIATION_UNMERGE_SYSTEM,MATCH(A176,DIFFERENTIATION_ID_DIFF,0)))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I178" s="2400"/>
      <c r="J178" s="2400"/>
      <c r="K178" s="2400"/>
      <c r="L178" s="2400"/>
      <c r="M178" s="2400"/>
      <c r="N178" s="2400"/>
      <c r="O178" s="2400"/>
      <c r="P178" s="2400"/>
      <c r="Q178" s="2400"/>
      <c r="R178" s="2400"/>
      <c r="S178" s="723"/>
      <c r="T178" s="720"/>
      <c r="U178" s="629"/>
      <c r="V178" s="629"/>
      <c r="W178" s="630"/>
      <c r="X178" s="630"/>
      <c r="Y178" s="630"/>
      <c r="Z178" s="630"/>
      <c r="AA178" s="631"/>
      <c r="AB178" s="632"/>
      <c r="AC178" s="2392"/>
      <c r="AD178" s="633"/>
      <c r="AE178" s="634"/>
      <c r="AF178" s="634"/>
      <c r="AG178" s="635"/>
      <c r="AH178" s="636"/>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30"/>
      <c r="BW178" s="630"/>
      <c r="BX178" s="630"/>
      <c r="BY178" s="630"/>
      <c r="BZ178" s="630"/>
      <c r="CA178" s="630"/>
      <c r="CB178" s="630"/>
      <c r="CC178" s="630"/>
      <c r="CD178" s="630"/>
      <c r="CE178" s="630"/>
      <c r="CF178" s="1851"/>
    </row>
    <row customHeight="1" ht="24.75" hidden="1">
      <c r="A179" s="1809"/>
      <c r="B179" s="1164"/>
      <c r="C179" s="416"/>
      <c r="D179" s="2596"/>
      <c r="E179" s="2393" t="s">
        <v>755</v>
      </c>
      <c r="F179" s="2393"/>
      <c r="G179" s="2393"/>
      <c r="H179" s="2393"/>
      <c r="I179" s="2393"/>
      <c r="J179" s="2393"/>
      <c r="K179" s="2393"/>
      <c r="L179" s="2393"/>
      <c r="M179" s="2393"/>
      <c r="N179" s="2393"/>
      <c r="O179" s="2393"/>
      <c r="P179" s="2393"/>
      <c r="Q179" s="562">
        <f>SUMIF(T180:T181,"i",Q180:Q181)</f>
        <v>0</v>
      </c>
      <c r="R179" s="1021"/>
      <c r="S179" s="1801" t="s">
        <v>756</v>
      </c>
      <c r="T179" s="721" t="s">
        <v>757</v>
      </c>
      <c r="U179" s="2391">
        <v>1</v>
      </c>
      <c r="V179" s="2391" t="str">
        <f>INDEX(B_FHD_FLAG_INDEX_1,1,MATCH(A176,B_FHD_FLAG_DIFFERENTIATION,0))</f>
        <v>отсутствует</v>
      </c>
      <c r="W179" s="1164"/>
      <c r="X179" s="1164"/>
      <c r="Y179" s="1164"/>
      <c r="Z179" s="1164"/>
      <c r="AA179" s="1640"/>
      <c r="AB179" s="1164"/>
      <c r="AC179" s="2392"/>
      <c r="AD179" s="633"/>
      <c r="AE179" s="1164"/>
      <c r="AF179" s="1164"/>
      <c r="AG179" s="1640"/>
      <c r="AH179" s="1640"/>
      <c r="AI179" s="1640"/>
      <c r="AJ179" s="1640"/>
      <c r="AK179" s="1640"/>
      <c r="AL179" s="1640"/>
      <c r="AM179" s="1640"/>
      <c r="AN179" s="1640"/>
      <c r="AO179" s="1640"/>
      <c r="AP179" s="1640"/>
      <c r="AQ179" s="1640"/>
      <c r="AR179" s="1640"/>
      <c r="AS179" s="1640"/>
      <c r="AT179" s="1640"/>
      <c r="AU179" s="1640"/>
      <c r="AV179" s="1640"/>
      <c r="AW179" s="1640"/>
      <c r="AX179" s="1640"/>
      <c r="AY179" s="1640"/>
      <c r="AZ179" s="1640"/>
      <c r="BA179" s="1640"/>
      <c r="BB179" s="1640"/>
      <c r="BC179" s="1640"/>
      <c r="BD179" s="1640"/>
      <c r="BE179" s="1640"/>
      <c r="BF179" s="1640"/>
      <c r="BG179" s="1640"/>
      <c r="BH179" s="1640"/>
      <c r="BI179" s="1640"/>
      <c r="BJ179" s="1640"/>
      <c r="BK179" s="1640"/>
      <c r="BL179" s="1640"/>
      <c r="BM179" s="1640"/>
      <c r="BN179" s="1640"/>
      <c r="BO179" s="1640"/>
      <c r="BP179" s="1640"/>
      <c r="BQ179" s="1640"/>
      <c r="BR179" s="1640"/>
      <c r="BS179" s="1640"/>
      <c r="BT179" s="1640"/>
      <c r="BU179" s="1640"/>
      <c r="BV179" s="1164"/>
      <c r="BW179" s="1164"/>
      <c r="BX179" s="1164"/>
      <c r="BY179" s="1164"/>
      <c r="BZ179" s="1164"/>
      <c r="CA179" s="1164"/>
      <c r="CB179" s="1164"/>
      <c r="CC179" s="1164"/>
      <c r="CD179" s="1164"/>
      <c r="CE179" s="1164"/>
      <c r="CF179" s="1851"/>
    </row>
    <row customHeight="1" ht="11.25" hidden="1">
      <c r="A180" s="1796"/>
      <c r="B180" s="1640"/>
      <c r="C180" s="1640"/>
      <c r="D180" s="2596"/>
      <c r="E180" s="639"/>
      <c r="F180" s="639">
        <v>0</v>
      </c>
      <c r="G180" s="639"/>
      <c r="H180" s="639"/>
      <c r="I180" s="639"/>
      <c r="J180" s="639"/>
      <c r="K180" s="639"/>
      <c r="L180" s="639"/>
      <c r="M180" s="639"/>
      <c r="N180" s="639"/>
      <c r="O180" s="639"/>
      <c r="P180" s="639"/>
      <c r="Q180" s="639"/>
      <c r="R180" s="639"/>
      <c r="S180" s="640"/>
      <c r="T180" s="722"/>
      <c r="U180" s="2391"/>
      <c r="V180" s="2391"/>
      <c r="W180" s="1640"/>
      <c r="X180" s="1640"/>
      <c r="Y180" s="1640"/>
      <c r="Z180" s="1640"/>
      <c r="AA180" s="1640"/>
      <c r="AB180" s="1164"/>
      <c r="AC180" s="2392"/>
      <c r="AD180" s="633"/>
      <c r="AE180" s="1164"/>
      <c r="AF180" s="1164"/>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640"/>
      <c r="AZ180" s="1640"/>
      <c r="BA180" s="1640"/>
      <c r="BB180" s="1640"/>
      <c r="BC180" s="1640"/>
      <c r="BD180" s="1640"/>
      <c r="BE180" s="1640"/>
      <c r="BF180" s="1640"/>
      <c r="BG180" s="1640"/>
      <c r="BH180" s="1640"/>
      <c r="BI180" s="1640"/>
      <c r="BJ180" s="1640"/>
      <c r="BK180" s="1640"/>
      <c r="BL180" s="1640"/>
      <c r="BM180" s="1640"/>
      <c r="BN180" s="1640"/>
      <c r="BO180" s="1640"/>
      <c r="BP180" s="1640"/>
      <c r="BQ180" s="1640"/>
      <c r="BR180" s="1640"/>
      <c r="BS180" s="1640"/>
      <c r="BT180" s="1640"/>
      <c r="BU180" s="1640"/>
      <c r="BV180" s="1640"/>
      <c r="BW180" s="1640"/>
      <c r="BX180" s="1640"/>
      <c r="BY180" s="1640"/>
      <c r="BZ180" s="1640"/>
      <c r="CA180" s="1640"/>
      <c r="CB180" s="1640"/>
      <c r="CC180" s="1640"/>
      <c r="CD180" s="1640"/>
      <c r="CE180" s="1640"/>
      <c r="CF180" s="1851"/>
    </row>
    <row customHeight="1" ht="11.25" hidden="1">
      <c r="A181" s="1809"/>
      <c r="B181" s="1164"/>
      <c r="C181" s="416"/>
      <c r="D181" s="2596"/>
      <c r="E181" s="653" t="s">
        <v>22</v>
      </c>
      <c r="F181" s="1172" t="s">
        <v>22</v>
      </c>
      <c r="G181" s="1172" t="s">
        <v>760</v>
      </c>
      <c r="H181" s="655" t="s">
        <v>22</v>
      </c>
      <c r="I181" s="655"/>
      <c r="J181" s="655"/>
      <c r="K181" s="655"/>
      <c r="L181" s="655"/>
      <c r="M181" s="655"/>
      <c r="N181" s="655"/>
      <c r="O181" s="655"/>
      <c r="P181" s="655"/>
      <c r="Q181" s="655"/>
      <c r="R181" s="656"/>
      <c r="S181" s="657"/>
      <c r="T181" s="722"/>
      <c r="U181" s="2391"/>
      <c r="V181" s="2391"/>
      <c r="W181" s="1164"/>
      <c r="X181" s="1164"/>
      <c r="Y181" s="1164"/>
      <c r="Z181" s="1164"/>
      <c r="AA181" s="1640"/>
      <c r="AB181" s="1164"/>
      <c r="AC181" s="2392"/>
      <c r="AD181" s="633"/>
      <c r="AE181" s="1164"/>
      <c r="AF181" s="1164"/>
      <c r="AG181" s="1640"/>
      <c r="AH181" s="1640"/>
      <c r="AI181" s="1640"/>
      <c r="AJ181" s="1640"/>
      <c r="AK181" s="1640"/>
      <c r="AL181" s="1640"/>
      <c r="AM181" s="1640"/>
      <c r="AN181" s="1640"/>
      <c r="AO181" s="1640"/>
      <c r="AP181" s="1640"/>
      <c r="AQ181" s="1640"/>
      <c r="AR181" s="1640"/>
      <c r="AS181" s="1640"/>
      <c r="AT181" s="1640"/>
      <c r="AU181" s="1640"/>
      <c r="AV181" s="1640"/>
      <c r="AW181" s="1640"/>
      <c r="AX181" s="1640"/>
      <c r="AY181" s="1640"/>
      <c r="AZ181" s="1640"/>
      <c r="BA181" s="1640"/>
      <c r="BB181" s="1640"/>
      <c r="BC181" s="1640"/>
      <c r="BD181" s="1640"/>
      <c r="BE181" s="1640"/>
      <c r="BF181" s="1640"/>
      <c r="BG181" s="1640"/>
      <c r="BH181" s="1640"/>
      <c r="BI181" s="1640"/>
      <c r="BJ181" s="1640"/>
      <c r="BK181" s="1640"/>
      <c r="BL181" s="1640"/>
      <c r="BM181" s="1640"/>
      <c r="BN181" s="1640"/>
      <c r="BO181" s="1640"/>
      <c r="BP181" s="1640"/>
      <c r="BQ181" s="1640"/>
      <c r="BR181" s="1640"/>
      <c r="BS181" s="1640"/>
      <c r="BT181" s="1640"/>
      <c r="BU181" s="1640"/>
      <c r="BV181" s="1164"/>
      <c r="BW181" s="1164"/>
      <c r="BX181" s="1164"/>
      <c r="BY181" s="1164"/>
      <c r="BZ181" s="1164"/>
      <c r="CA181" s="1164"/>
      <c r="CB181" s="1164"/>
      <c r="CC181" s="1164"/>
      <c r="CD181" s="1164"/>
      <c r="CE181" s="1164"/>
      <c r="CF181" s="1851"/>
    </row>
    <row customHeight="1" ht="24.75" hidden="1">
      <c r="A182" s="1809"/>
      <c r="B182" s="1164"/>
      <c r="C182" s="416"/>
      <c r="D182" s="2596"/>
      <c r="E182" s="2393" t="s">
        <v>758</v>
      </c>
      <c r="F182" s="2393"/>
      <c r="G182" s="2393"/>
      <c r="H182" s="2393"/>
      <c r="I182" s="2393"/>
      <c r="J182" s="2393"/>
      <c r="K182" s="2393"/>
      <c r="L182" s="2393"/>
      <c r="M182" s="2393"/>
      <c r="N182" s="2393"/>
      <c r="O182" s="2393"/>
      <c r="P182" s="2393"/>
      <c r="Q182" s="562">
        <f>SUMIF(T183:T184,"i",Q183:Q184)</f>
        <v>0</v>
      </c>
      <c r="R182" s="1021"/>
      <c r="S182" s="1801" t="s">
        <v>759</v>
      </c>
      <c r="T182" s="721" t="s">
        <v>757</v>
      </c>
      <c r="U182" s="2391">
        <v>1</v>
      </c>
      <c r="V182" s="2391" t="str">
        <f>INDEX(B_FHD_FLAG_INDEX_2,1,MATCH(A176,B_FHD_FLAG_DIFFERENTIATION,0))</f>
        <v>отсутствует</v>
      </c>
      <c r="W182" s="1164"/>
      <c r="X182" s="1164"/>
      <c r="Y182" s="1164"/>
      <c r="Z182" s="1164"/>
      <c r="AA182" s="1640"/>
      <c r="AB182" s="1164"/>
      <c r="AC182" s="1799"/>
      <c r="AD182" s="633"/>
      <c r="AE182" s="1164"/>
      <c r="AF182" s="1164"/>
      <c r="AG182" s="1640"/>
      <c r="AH182" s="1640"/>
      <c r="AI182" s="1640"/>
      <c r="AJ182" s="1640"/>
      <c r="AK182" s="1640"/>
      <c r="AL182" s="1640"/>
      <c r="AM182" s="1640"/>
      <c r="AN182" s="1640"/>
      <c r="AO182" s="1640"/>
      <c r="AP182" s="1640"/>
      <c r="AQ182" s="1640"/>
      <c r="AR182" s="1640"/>
      <c r="AS182" s="1640"/>
      <c r="AT182" s="1640"/>
      <c r="AU182" s="1640"/>
      <c r="AV182" s="1640"/>
      <c r="AW182" s="1640"/>
      <c r="AX182" s="1640"/>
      <c r="AY182" s="1640"/>
      <c r="AZ182" s="1640"/>
      <c r="BA182" s="1640"/>
      <c r="BB182" s="1640"/>
      <c r="BC182" s="1640"/>
      <c r="BD182" s="1640"/>
      <c r="BE182" s="1640"/>
      <c r="BF182" s="1640"/>
      <c r="BG182" s="1640"/>
      <c r="BH182" s="1640"/>
      <c r="BI182" s="1640"/>
      <c r="BJ182" s="1640"/>
      <c r="BK182" s="1640"/>
      <c r="BL182" s="1640"/>
      <c r="BM182" s="1640"/>
      <c r="BN182" s="1640"/>
      <c r="BO182" s="1640"/>
      <c r="BP182" s="1640"/>
      <c r="BQ182" s="1640"/>
      <c r="BR182" s="1640"/>
      <c r="BS182" s="1640"/>
      <c r="BT182" s="1640"/>
      <c r="BU182" s="1640"/>
      <c r="BV182" s="1164"/>
      <c r="BW182" s="1164"/>
      <c r="BX182" s="1164"/>
      <c r="BY182" s="1164"/>
      <c r="BZ182" s="1164"/>
      <c r="CA182" s="1164"/>
      <c r="CB182" s="1164"/>
      <c r="CC182" s="1164"/>
      <c r="CD182" s="1164"/>
      <c r="CE182" s="1164"/>
      <c r="CF182" s="1851"/>
    </row>
    <row customHeight="1" ht="11.25" hidden="1">
      <c r="A183" s="1796"/>
      <c r="B183" s="1640"/>
      <c r="C183" s="1640"/>
      <c r="D183" s="2596"/>
      <c r="E183" s="639"/>
      <c r="F183" s="639">
        <v>0</v>
      </c>
      <c r="G183" s="639"/>
      <c r="H183" s="639"/>
      <c r="I183" s="639"/>
      <c r="J183" s="639"/>
      <c r="K183" s="639"/>
      <c r="L183" s="639"/>
      <c r="M183" s="639"/>
      <c r="N183" s="639"/>
      <c r="O183" s="639"/>
      <c r="P183" s="639"/>
      <c r="Q183" s="639"/>
      <c r="R183" s="639"/>
      <c r="S183" s="640"/>
      <c r="T183" s="722"/>
      <c r="U183" s="2391"/>
      <c r="V183" s="2391"/>
      <c r="W183" s="1640"/>
      <c r="X183" s="1640"/>
      <c r="Y183" s="1640"/>
      <c r="Z183" s="1640"/>
      <c r="AA183" s="1640"/>
      <c r="AB183" s="1164"/>
      <c r="AC183" s="1799"/>
      <c r="AD183" s="633"/>
      <c r="AE183" s="1164"/>
      <c r="AF183" s="1164"/>
      <c r="AG183" s="1640"/>
      <c r="AH183" s="1640"/>
      <c r="AI183" s="1640"/>
      <c r="AJ183" s="1640"/>
      <c r="AK183" s="1640"/>
      <c r="AL183" s="1640"/>
      <c r="AM183" s="1640"/>
      <c r="AN183" s="1640"/>
      <c r="AO183" s="1640"/>
      <c r="AP183" s="1640"/>
      <c r="AQ183" s="1640"/>
      <c r="AR183" s="1640"/>
      <c r="AS183" s="1640"/>
      <c r="AT183" s="1640"/>
      <c r="AU183" s="1640"/>
      <c r="AV183" s="1640"/>
      <c r="AW183" s="1640"/>
      <c r="AX183" s="1640"/>
      <c r="AY183" s="1640"/>
      <c r="AZ183" s="1640"/>
      <c r="BA183" s="1640"/>
      <c r="BB183" s="1640"/>
      <c r="BC183" s="1640"/>
      <c r="BD183" s="1640"/>
      <c r="BE183" s="1640"/>
      <c r="BF183" s="1640"/>
      <c r="BG183" s="1640"/>
      <c r="BH183" s="1640"/>
      <c r="BI183" s="1640"/>
      <c r="BJ183" s="1640"/>
      <c r="BK183" s="1640"/>
      <c r="BL183" s="1640"/>
      <c r="BM183" s="1640"/>
      <c r="BN183" s="1640"/>
      <c r="BO183" s="1640"/>
      <c r="BP183" s="1640"/>
      <c r="BQ183" s="1640"/>
      <c r="BR183" s="1640"/>
      <c r="BS183" s="1640"/>
      <c r="BT183" s="1640"/>
      <c r="BU183" s="1640"/>
      <c r="BV183" s="1640"/>
      <c r="BW183" s="1640"/>
      <c r="BX183" s="1640"/>
      <c r="BY183" s="1640"/>
      <c r="BZ183" s="1640"/>
      <c r="CA183" s="1640"/>
      <c r="CB183" s="1640"/>
      <c r="CC183" s="1640"/>
      <c r="CD183" s="1640"/>
      <c r="CE183" s="1640"/>
      <c r="CF183" s="1851"/>
    </row>
    <row customHeight="1" ht="11.25" hidden="1">
      <c r="A184" s="1809"/>
      <c r="B184" s="1164"/>
      <c r="C184" s="416"/>
      <c r="D184" s="2597"/>
      <c r="E184" s="653" t="s">
        <v>22</v>
      </c>
      <c r="F184" s="1172" t="s">
        <v>22</v>
      </c>
      <c r="G184" s="1172" t="s">
        <v>760</v>
      </c>
      <c r="H184" s="655" t="s">
        <v>22</v>
      </c>
      <c r="I184" s="655"/>
      <c r="J184" s="655"/>
      <c r="K184" s="655"/>
      <c r="L184" s="655"/>
      <c r="M184" s="655"/>
      <c r="N184" s="655"/>
      <c r="O184" s="655"/>
      <c r="P184" s="655"/>
      <c r="Q184" s="655"/>
      <c r="R184" s="656"/>
      <c r="S184" s="657"/>
      <c r="T184" s="722"/>
      <c r="U184" s="2391"/>
      <c r="V184" s="2391"/>
      <c r="W184" s="1164"/>
      <c r="X184" s="1164"/>
      <c r="Y184" s="1164"/>
      <c r="Z184" s="1164"/>
      <c r="AA184" s="1640"/>
      <c r="AB184" s="1164"/>
      <c r="AC184" s="1799"/>
      <c r="AD184" s="633"/>
      <c r="AE184" s="1164"/>
      <c r="AF184" s="1164"/>
      <c r="AG184" s="1640"/>
      <c r="AH184" s="1640"/>
      <c r="AI184" s="1640"/>
      <c r="AJ184" s="1640"/>
      <c r="AK184" s="1640"/>
      <c r="AL184" s="1640"/>
      <c r="AM184" s="1640"/>
      <c r="AN184" s="1640"/>
      <c r="AO184" s="1640"/>
      <c r="AP184" s="1640"/>
      <c r="AQ184" s="1640"/>
      <c r="AR184" s="1640"/>
      <c r="AS184" s="1640"/>
      <c r="AT184" s="1640"/>
      <c r="AU184" s="1640"/>
      <c r="AV184" s="1640"/>
      <c r="AW184" s="1640"/>
      <c r="AX184" s="1640"/>
      <c r="AY184" s="1640"/>
      <c r="AZ184" s="1640"/>
      <c r="BA184" s="1640"/>
      <c r="BB184" s="1640"/>
      <c r="BC184" s="1640"/>
      <c r="BD184" s="1640"/>
      <c r="BE184" s="1640"/>
      <c r="BF184" s="1640"/>
      <c r="BG184" s="1640"/>
      <c r="BH184" s="1640"/>
      <c r="BI184" s="1640"/>
      <c r="BJ184" s="1640"/>
      <c r="BK184" s="1640"/>
      <c r="BL184" s="1640"/>
      <c r="BM184" s="1640"/>
      <c r="BN184" s="1640"/>
      <c r="BO184" s="1640"/>
      <c r="BP184" s="1640"/>
      <c r="BQ184" s="1640"/>
      <c r="BR184" s="1640"/>
      <c r="BS184" s="1640"/>
      <c r="BT184" s="1640"/>
      <c r="BU184" s="1640"/>
      <c r="BV184" s="1164"/>
      <c r="BW184" s="1164"/>
      <c r="BX184" s="1164"/>
      <c r="BY184" s="1164"/>
      <c r="BZ184" s="1164"/>
      <c r="CA184" s="1164"/>
      <c r="CB184" s="1164"/>
      <c r="CC184" s="1164"/>
      <c r="CD184" s="1164"/>
      <c r="CE184" s="1164"/>
      <c r="CF184" s="1851"/>
    </row>
    <row customHeight="1" ht="15" hidden="1">
      <c r="A185" s="627" t="s">
        <v>229</v>
      </c>
      <c r="B185" s="628"/>
      <c r="C185" s="628" t="s">
        <v>22</v>
      </c>
      <c r="D185" s="2595" t="s">
        <v>778</v>
      </c>
      <c r="E185" s="2394" t="s">
        <v>173</v>
      </c>
      <c r="F185" s="2395"/>
      <c r="G185" s="2396"/>
      <c r="H185" s="2400" t="str">
        <f>IF(A185="","",INDEX(DIFFERENTIATION_UNMERGE_VD,MATCH(A185,DIFFERENTIATION_ID_DIFF,0)))</f>
        <v>Холодное водоснабжение. Питьевая вода</v>
      </c>
      <c r="I185" s="2400"/>
      <c r="J185" s="2400"/>
      <c r="K185" s="2400"/>
      <c r="L185" s="2400"/>
      <c r="M185" s="2400"/>
      <c r="N185" s="2400"/>
      <c r="O185" s="2400"/>
      <c r="P185" s="2400"/>
      <c r="Q185" s="2400"/>
      <c r="R185" s="2400"/>
      <c r="S185" s="723"/>
      <c r="T185" s="720"/>
      <c r="U185" s="629"/>
      <c r="V185" s="629"/>
      <c r="W185" s="630"/>
      <c r="X185" s="630"/>
      <c r="Y185" s="630"/>
      <c r="Z185" s="630"/>
      <c r="AA185" s="631"/>
      <c r="AB185" s="632"/>
      <c r="AC185" s="2392"/>
      <c r="AD185" s="633"/>
      <c r="AE185" s="634" t="s">
        <v>22</v>
      </c>
      <c r="AF185" s="634"/>
      <c r="AG185" s="635" t="s">
        <v>754</v>
      </c>
      <c r="AH185" s="636">
        <v>3</v>
      </c>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30"/>
      <c r="BW185" s="630"/>
      <c r="BX185" s="630"/>
      <c r="BY185" s="630"/>
      <c r="BZ185" s="630"/>
      <c r="CA185" s="630"/>
      <c r="CB185" s="630"/>
      <c r="CC185" s="630"/>
      <c r="CD185" s="630"/>
      <c r="CE185" s="630"/>
      <c r="CF185" s="1851"/>
    </row>
    <row customHeight="1" ht="15" hidden="1">
      <c r="A186" s="627"/>
      <c r="B186" s="628"/>
      <c r="C186" s="628"/>
      <c r="D186" s="2596"/>
      <c r="E186" s="2394" t="s">
        <v>702</v>
      </c>
      <c r="F186" s="2395"/>
      <c r="G186" s="2396"/>
      <c r="H186" s="2400" t="str">
        <f>IF(A185="","",INDEX(DIFFERENTIATION_UNMERGE_AREA,MATCH(A185,DIFFERENTIATION_ID_DIFF,0)))</f>
        <v>Территория 10</v>
      </c>
      <c r="I186" s="2400"/>
      <c r="J186" s="2400"/>
      <c r="K186" s="2400"/>
      <c r="L186" s="2400"/>
      <c r="M186" s="2400"/>
      <c r="N186" s="2400"/>
      <c r="O186" s="2400"/>
      <c r="P186" s="2400"/>
      <c r="Q186" s="2400"/>
      <c r="R186" s="2400"/>
      <c r="S186" s="723"/>
      <c r="T186" s="720"/>
      <c r="U186" s="629"/>
      <c r="V186" s="629"/>
      <c r="W186" s="630"/>
      <c r="X186" s="630"/>
      <c r="Y186" s="630"/>
      <c r="Z186" s="630"/>
      <c r="AA186" s="631"/>
      <c r="AB186" s="632"/>
      <c r="AC186" s="2392"/>
      <c r="AD186" s="633"/>
      <c r="AE186" s="634"/>
      <c r="AF186" s="634"/>
      <c r="AG186" s="635"/>
      <c r="AH186" s="636"/>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30"/>
      <c r="BW186" s="630"/>
      <c r="BX186" s="630"/>
      <c r="BY186" s="630"/>
      <c r="BZ186" s="630"/>
      <c r="CA186" s="630"/>
      <c r="CB186" s="630"/>
      <c r="CC186" s="630"/>
      <c r="CD186" s="630"/>
      <c r="CE186" s="630"/>
      <c r="CF186" s="1851"/>
    </row>
    <row customHeight="1" ht="15" hidden="1">
      <c r="A187" s="627"/>
      <c r="B187" s="628"/>
      <c r="C187" s="628"/>
      <c r="D187" s="2596"/>
      <c r="E187" s="2394" t="s">
        <v>703</v>
      </c>
      <c r="F187" s="2395"/>
      <c r="G187" s="2396"/>
      <c r="H187" s="2400" t="str">
        <f>IF(A185="","",INDEX(DIFFERENTIATION_UNMERGE_SYSTEM,MATCH(A185,DIFFERENTIATION_ID_DIFF,0)))</f>
        <v>Централизованная система водоснабжения Глубинненского сельского поселения</v>
      </c>
      <c r="I187" s="2400"/>
      <c r="J187" s="2400"/>
      <c r="K187" s="2400"/>
      <c r="L187" s="2400"/>
      <c r="M187" s="2400"/>
      <c r="N187" s="2400"/>
      <c r="O187" s="2400"/>
      <c r="P187" s="2400"/>
      <c r="Q187" s="2400"/>
      <c r="R187" s="2400"/>
      <c r="S187" s="723"/>
      <c r="T187" s="720"/>
      <c r="U187" s="629"/>
      <c r="V187" s="629"/>
      <c r="W187" s="630"/>
      <c r="X187" s="630"/>
      <c r="Y187" s="630"/>
      <c r="Z187" s="630"/>
      <c r="AA187" s="631"/>
      <c r="AB187" s="632"/>
      <c r="AC187" s="2392"/>
      <c r="AD187" s="633"/>
      <c r="AE187" s="634"/>
      <c r="AF187" s="634"/>
      <c r="AG187" s="635"/>
      <c r="AH187" s="636"/>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30"/>
      <c r="BW187" s="630"/>
      <c r="BX187" s="630"/>
      <c r="BY187" s="630"/>
      <c r="BZ187" s="630"/>
      <c r="CA187" s="630"/>
      <c r="CB187" s="630"/>
      <c r="CC187" s="630"/>
      <c r="CD187" s="630"/>
      <c r="CE187" s="630"/>
      <c r="CF187" s="1851"/>
    </row>
    <row customHeight="1" ht="24.75" hidden="1">
      <c r="A188" s="1809"/>
      <c r="B188" s="1164"/>
      <c r="C188" s="416"/>
      <c r="D188" s="2596"/>
      <c r="E188" s="2393" t="s">
        <v>755</v>
      </c>
      <c r="F188" s="2393"/>
      <c r="G188" s="2393"/>
      <c r="H188" s="2393"/>
      <c r="I188" s="2393"/>
      <c r="J188" s="2393"/>
      <c r="K188" s="2393"/>
      <c r="L188" s="2393"/>
      <c r="M188" s="2393"/>
      <c r="N188" s="2393"/>
      <c r="O188" s="2393"/>
      <c r="P188" s="2393"/>
      <c r="Q188" s="562">
        <f>SUMIF(T189:T190,"i",Q189:Q190)</f>
        <v>0</v>
      </c>
      <c r="R188" s="1021"/>
      <c r="S188" s="1801" t="s">
        <v>756</v>
      </c>
      <c r="T188" s="721" t="s">
        <v>757</v>
      </c>
      <c r="U188" s="2391">
        <v>1</v>
      </c>
      <c r="V188" s="2391" t="str">
        <f>INDEX(B_FHD_FLAG_INDEX_1,1,MATCH(A185,B_FHD_FLAG_DIFFERENTIATION,0))</f>
        <v>отсутствует</v>
      </c>
      <c r="W188" s="1164"/>
      <c r="X188" s="1164"/>
      <c r="Y188" s="1164"/>
      <c r="Z188" s="1164"/>
      <c r="AA188" s="1640"/>
      <c r="AB188" s="1164"/>
      <c r="AC188" s="2392"/>
      <c r="AD188" s="633"/>
      <c r="AE188" s="1164"/>
      <c r="AF188" s="1164"/>
      <c r="AG188" s="1640"/>
      <c r="AH188" s="1640"/>
      <c r="AI188" s="1640"/>
      <c r="AJ188" s="1640"/>
      <c r="AK188" s="1640"/>
      <c r="AL188" s="1640"/>
      <c r="AM188" s="1640"/>
      <c r="AN188" s="1640"/>
      <c r="AO188" s="1640"/>
      <c r="AP188" s="1640"/>
      <c r="AQ188" s="1640"/>
      <c r="AR188" s="1640"/>
      <c r="AS188" s="1640"/>
      <c r="AT188" s="1640"/>
      <c r="AU188" s="1640"/>
      <c r="AV188" s="1640"/>
      <c r="AW188" s="1640"/>
      <c r="AX188" s="1640"/>
      <c r="AY188" s="1640"/>
      <c r="AZ188" s="1640"/>
      <c r="BA188" s="1640"/>
      <c r="BB188" s="1640"/>
      <c r="BC188" s="1640"/>
      <c r="BD188" s="1640"/>
      <c r="BE188" s="1640"/>
      <c r="BF188" s="1640"/>
      <c r="BG188" s="1640"/>
      <c r="BH188" s="1640"/>
      <c r="BI188" s="1640"/>
      <c r="BJ188" s="1640"/>
      <c r="BK188" s="1640"/>
      <c r="BL188" s="1640"/>
      <c r="BM188" s="1640"/>
      <c r="BN188" s="1640"/>
      <c r="BO188" s="1640"/>
      <c r="BP188" s="1640"/>
      <c r="BQ188" s="1640"/>
      <c r="BR188" s="1640"/>
      <c r="BS188" s="1640"/>
      <c r="BT188" s="1640"/>
      <c r="BU188" s="1640"/>
      <c r="BV188" s="1164"/>
      <c r="BW188" s="1164"/>
      <c r="BX188" s="1164"/>
      <c r="BY188" s="1164"/>
      <c r="BZ188" s="1164"/>
      <c r="CA188" s="1164"/>
      <c r="CB188" s="1164"/>
      <c r="CC188" s="1164"/>
      <c r="CD188" s="1164"/>
      <c r="CE188" s="1164"/>
      <c r="CF188" s="1851"/>
    </row>
    <row customHeight="1" ht="11.25" hidden="1">
      <c r="A189" s="1796"/>
      <c r="B189" s="1640"/>
      <c r="C189" s="1640"/>
      <c r="D189" s="2596"/>
      <c r="E189" s="639"/>
      <c r="F189" s="639">
        <v>0</v>
      </c>
      <c r="G189" s="639"/>
      <c r="H189" s="639"/>
      <c r="I189" s="639"/>
      <c r="J189" s="639"/>
      <c r="K189" s="639"/>
      <c r="L189" s="639"/>
      <c r="M189" s="639"/>
      <c r="N189" s="639"/>
      <c r="O189" s="639"/>
      <c r="P189" s="639"/>
      <c r="Q189" s="639"/>
      <c r="R189" s="639"/>
      <c r="S189" s="640"/>
      <c r="T189" s="722"/>
      <c r="U189" s="2391"/>
      <c r="V189" s="2391"/>
      <c r="W189" s="1640"/>
      <c r="X189" s="1640"/>
      <c r="Y189" s="1640"/>
      <c r="Z189" s="1640"/>
      <c r="AA189" s="1640"/>
      <c r="AB189" s="1164"/>
      <c r="AC189" s="2392"/>
      <c r="AD189" s="633"/>
      <c r="AE189" s="1164"/>
      <c r="AF189" s="1164"/>
      <c r="AG189" s="1640"/>
      <c r="AH189" s="1640"/>
      <c r="AI189" s="1640"/>
      <c r="AJ189" s="1640"/>
      <c r="AK189" s="1640"/>
      <c r="AL189" s="1640"/>
      <c r="AM189" s="1640"/>
      <c r="AN189" s="1640"/>
      <c r="AO189" s="1640"/>
      <c r="AP189" s="1640"/>
      <c r="AQ189" s="1640"/>
      <c r="AR189" s="1640"/>
      <c r="AS189" s="1640"/>
      <c r="AT189" s="1640"/>
      <c r="AU189" s="1640"/>
      <c r="AV189" s="1640"/>
      <c r="AW189" s="1640"/>
      <c r="AX189" s="1640"/>
      <c r="AY189" s="1640"/>
      <c r="AZ189" s="1640"/>
      <c r="BA189" s="1640"/>
      <c r="BB189" s="1640"/>
      <c r="BC189" s="1640"/>
      <c r="BD189" s="1640"/>
      <c r="BE189" s="1640"/>
      <c r="BF189" s="1640"/>
      <c r="BG189" s="1640"/>
      <c r="BH189" s="1640"/>
      <c r="BI189" s="1640"/>
      <c r="BJ189" s="1640"/>
      <c r="BK189" s="1640"/>
      <c r="BL189" s="1640"/>
      <c r="BM189" s="1640"/>
      <c r="BN189" s="1640"/>
      <c r="BO189" s="1640"/>
      <c r="BP189" s="1640"/>
      <c r="BQ189" s="1640"/>
      <c r="BR189" s="1640"/>
      <c r="BS189" s="1640"/>
      <c r="BT189" s="1640"/>
      <c r="BU189" s="1640"/>
      <c r="BV189" s="1640"/>
      <c r="BW189" s="1640"/>
      <c r="BX189" s="1640"/>
      <c r="BY189" s="1640"/>
      <c r="BZ189" s="1640"/>
      <c r="CA189" s="1640"/>
      <c r="CB189" s="1640"/>
      <c r="CC189" s="1640"/>
      <c r="CD189" s="1640"/>
      <c r="CE189" s="1640"/>
      <c r="CF189" s="1851"/>
    </row>
    <row customHeight="1" ht="11.25" hidden="1">
      <c r="A190" s="1809"/>
      <c r="B190" s="1164"/>
      <c r="C190" s="416"/>
      <c r="D190" s="2596"/>
      <c r="E190" s="653" t="s">
        <v>22</v>
      </c>
      <c r="F190" s="1172" t="s">
        <v>22</v>
      </c>
      <c r="G190" s="1172" t="s">
        <v>760</v>
      </c>
      <c r="H190" s="655" t="s">
        <v>22</v>
      </c>
      <c r="I190" s="655"/>
      <c r="J190" s="655"/>
      <c r="K190" s="655"/>
      <c r="L190" s="655"/>
      <c r="M190" s="655"/>
      <c r="N190" s="655"/>
      <c r="O190" s="655"/>
      <c r="P190" s="655"/>
      <c r="Q190" s="655"/>
      <c r="R190" s="656"/>
      <c r="S190" s="657"/>
      <c r="T190" s="722"/>
      <c r="U190" s="2391"/>
      <c r="V190" s="2391"/>
      <c r="W190" s="1164"/>
      <c r="X190" s="1164"/>
      <c r="Y190" s="1164"/>
      <c r="Z190" s="1164"/>
      <c r="AA190" s="1640"/>
      <c r="AB190" s="1164"/>
      <c r="AC190" s="2392"/>
      <c r="AD190" s="633"/>
      <c r="AE190" s="1164"/>
      <c r="AF190" s="1164"/>
      <c r="AG190" s="1640"/>
      <c r="AH190" s="1640"/>
      <c r="AI190" s="1640"/>
      <c r="AJ190" s="1640"/>
      <c r="AK190" s="1640"/>
      <c r="AL190" s="1640"/>
      <c r="AM190" s="1640"/>
      <c r="AN190" s="1640"/>
      <c r="AO190" s="1640"/>
      <c r="AP190" s="1640"/>
      <c r="AQ190" s="1640"/>
      <c r="AR190" s="1640"/>
      <c r="AS190" s="1640"/>
      <c r="AT190" s="1640"/>
      <c r="AU190" s="1640"/>
      <c r="AV190" s="1640"/>
      <c r="AW190" s="1640"/>
      <c r="AX190" s="1640"/>
      <c r="AY190" s="1640"/>
      <c r="AZ190" s="1640"/>
      <c r="BA190" s="1640"/>
      <c r="BB190" s="1640"/>
      <c r="BC190" s="1640"/>
      <c r="BD190" s="1640"/>
      <c r="BE190" s="1640"/>
      <c r="BF190" s="1640"/>
      <c r="BG190" s="1640"/>
      <c r="BH190" s="1640"/>
      <c r="BI190" s="1640"/>
      <c r="BJ190" s="1640"/>
      <c r="BK190" s="1640"/>
      <c r="BL190" s="1640"/>
      <c r="BM190" s="1640"/>
      <c r="BN190" s="1640"/>
      <c r="BO190" s="1640"/>
      <c r="BP190" s="1640"/>
      <c r="BQ190" s="1640"/>
      <c r="BR190" s="1640"/>
      <c r="BS190" s="1640"/>
      <c r="BT190" s="1640"/>
      <c r="BU190" s="1640"/>
      <c r="BV190" s="1164"/>
      <c r="BW190" s="1164"/>
      <c r="BX190" s="1164"/>
      <c r="BY190" s="1164"/>
      <c r="BZ190" s="1164"/>
      <c r="CA190" s="1164"/>
      <c r="CB190" s="1164"/>
      <c r="CC190" s="1164"/>
      <c r="CD190" s="1164"/>
      <c r="CE190" s="1164"/>
      <c r="CF190" s="1851"/>
    </row>
    <row customHeight="1" ht="24.75" hidden="1">
      <c r="A191" s="1809"/>
      <c r="B191" s="1164"/>
      <c r="C191" s="416"/>
      <c r="D191" s="2596"/>
      <c r="E191" s="2393" t="s">
        <v>758</v>
      </c>
      <c r="F191" s="2393"/>
      <c r="G191" s="2393"/>
      <c r="H191" s="2393"/>
      <c r="I191" s="2393"/>
      <c r="J191" s="2393"/>
      <c r="K191" s="2393"/>
      <c r="L191" s="2393"/>
      <c r="M191" s="2393"/>
      <c r="N191" s="2393"/>
      <c r="O191" s="2393"/>
      <c r="P191" s="2393"/>
      <c r="Q191" s="562">
        <f>SUMIF(T192:T193,"i",Q192:Q193)</f>
        <v>0</v>
      </c>
      <c r="R191" s="1021"/>
      <c r="S191" s="1801" t="s">
        <v>759</v>
      </c>
      <c r="T191" s="721" t="s">
        <v>757</v>
      </c>
      <c r="U191" s="2391">
        <v>1</v>
      </c>
      <c r="V191" s="2391" t="str">
        <f>INDEX(B_FHD_FLAG_INDEX_2,1,MATCH(A185,B_FHD_FLAG_DIFFERENTIATION,0))</f>
        <v>отсутствует</v>
      </c>
      <c r="W191" s="1164"/>
      <c r="X191" s="1164"/>
      <c r="Y191" s="1164"/>
      <c r="Z191" s="1164"/>
      <c r="AA191" s="1640"/>
      <c r="AB191" s="1164"/>
      <c r="AC191" s="1799"/>
      <c r="AD191" s="633"/>
      <c r="AE191" s="1164"/>
      <c r="AF191" s="1164"/>
      <c r="AG191" s="1640"/>
      <c r="AH191" s="1640"/>
      <c r="AI191" s="1640"/>
      <c r="AJ191" s="1640"/>
      <c r="AK191" s="1640"/>
      <c r="AL191" s="1640"/>
      <c r="AM191" s="1640"/>
      <c r="AN191" s="1640"/>
      <c r="AO191" s="1640"/>
      <c r="AP191" s="1640"/>
      <c r="AQ191" s="1640"/>
      <c r="AR191" s="1640"/>
      <c r="AS191" s="1640"/>
      <c r="AT191" s="1640"/>
      <c r="AU191" s="1640"/>
      <c r="AV191" s="1640"/>
      <c r="AW191" s="1640"/>
      <c r="AX191" s="1640"/>
      <c r="AY191" s="1640"/>
      <c r="AZ191" s="1640"/>
      <c r="BA191" s="1640"/>
      <c r="BB191" s="1640"/>
      <c r="BC191" s="1640"/>
      <c r="BD191" s="1640"/>
      <c r="BE191" s="1640"/>
      <c r="BF191" s="1640"/>
      <c r="BG191" s="1640"/>
      <c r="BH191" s="1640"/>
      <c r="BI191" s="1640"/>
      <c r="BJ191" s="1640"/>
      <c r="BK191" s="1640"/>
      <c r="BL191" s="1640"/>
      <c r="BM191" s="1640"/>
      <c r="BN191" s="1640"/>
      <c r="BO191" s="1640"/>
      <c r="BP191" s="1640"/>
      <c r="BQ191" s="1640"/>
      <c r="BR191" s="1640"/>
      <c r="BS191" s="1640"/>
      <c r="BT191" s="1640"/>
      <c r="BU191" s="1640"/>
      <c r="BV191" s="1164"/>
      <c r="BW191" s="1164"/>
      <c r="BX191" s="1164"/>
      <c r="BY191" s="1164"/>
      <c r="BZ191" s="1164"/>
      <c r="CA191" s="1164"/>
      <c r="CB191" s="1164"/>
      <c r="CC191" s="1164"/>
      <c r="CD191" s="1164"/>
      <c r="CE191" s="1164"/>
      <c r="CF191" s="1851"/>
    </row>
    <row customHeight="1" ht="11.25" hidden="1">
      <c r="A192" s="1796"/>
      <c r="B192" s="1640"/>
      <c r="C192" s="1640"/>
      <c r="D192" s="2596"/>
      <c r="E192" s="639"/>
      <c r="F192" s="639">
        <v>0</v>
      </c>
      <c r="G192" s="639"/>
      <c r="H192" s="639"/>
      <c r="I192" s="639"/>
      <c r="J192" s="639"/>
      <c r="K192" s="639"/>
      <c r="L192" s="639"/>
      <c r="M192" s="639"/>
      <c r="N192" s="639"/>
      <c r="O192" s="639"/>
      <c r="P192" s="639"/>
      <c r="Q192" s="639"/>
      <c r="R192" s="639"/>
      <c r="S192" s="640"/>
      <c r="T192" s="722"/>
      <c r="U192" s="2391"/>
      <c r="V192" s="2391"/>
      <c r="W192" s="1640"/>
      <c r="X192" s="1640"/>
      <c r="Y192" s="1640"/>
      <c r="Z192" s="1640"/>
      <c r="AA192" s="1640"/>
      <c r="AB192" s="1164"/>
      <c r="AC192" s="1799"/>
      <c r="AD192" s="633"/>
      <c r="AE192" s="1164"/>
      <c r="AF192" s="1164"/>
      <c r="AG192" s="1640"/>
      <c r="AH192" s="1640"/>
      <c r="AI192" s="1640"/>
      <c r="AJ192" s="1640"/>
      <c r="AK192" s="1640"/>
      <c r="AL192" s="1640"/>
      <c r="AM192" s="1640"/>
      <c r="AN192" s="1640"/>
      <c r="AO192" s="1640"/>
      <c r="AP192" s="1640"/>
      <c r="AQ192" s="1640"/>
      <c r="AR192" s="1640"/>
      <c r="AS192" s="1640"/>
      <c r="AT192" s="1640"/>
      <c r="AU192" s="1640"/>
      <c r="AV192" s="1640"/>
      <c r="AW192" s="1640"/>
      <c r="AX192" s="1640"/>
      <c r="AY192" s="1640"/>
      <c r="AZ192" s="1640"/>
      <c r="BA192" s="1640"/>
      <c r="BB192" s="1640"/>
      <c r="BC192" s="1640"/>
      <c r="BD192" s="1640"/>
      <c r="BE192" s="1640"/>
      <c r="BF192" s="1640"/>
      <c r="BG192" s="1640"/>
      <c r="BH192" s="1640"/>
      <c r="BI192" s="1640"/>
      <c r="BJ192" s="1640"/>
      <c r="BK192" s="1640"/>
      <c r="BL192" s="1640"/>
      <c r="BM192" s="1640"/>
      <c r="BN192" s="1640"/>
      <c r="BO192" s="1640"/>
      <c r="BP192" s="1640"/>
      <c r="BQ192" s="1640"/>
      <c r="BR192" s="1640"/>
      <c r="BS192" s="1640"/>
      <c r="BT192" s="1640"/>
      <c r="BU192" s="1640"/>
      <c r="BV192" s="1640"/>
      <c r="BW192" s="1640"/>
      <c r="BX192" s="1640"/>
      <c r="BY192" s="1640"/>
      <c r="BZ192" s="1640"/>
      <c r="CA192" s="1640"/>
      <c r="CB192" s="1640"/>
      <c r="CC192" s="1640"/>
      <c r="CD192" s="1640"/>
      <c r="CE192" s="1640"/>
      <c r="CF192" s="1851"/>
    </row>
    <row customHeight="1" ht="11.25" hidden="1">
      <c r="A193" s="1809"/>
      <c r="B193" s="1164"/>
      <c r="C193" s="416"/>
      <c r="D193" s="2597"/>
      <c r="E193" s="653" t="s">
        <v>22</v>
      </c>
      <c r="F193" s="1172" t="s">
        <v>22</v>
      </c>
      <c r="G193" s="1172" t="s">
        <v>760</v>
      </c>
      <c r="H193" s="655" t="s">
        <v>22</v>
      </c>
      <c r="I193" s="655"/>
      <c r="J193" s="655"/>
      <c r="K193" s="655"/>
      <c r="L193" s="655"/>
      <c r="M193" s="655"/>
      <c r="N193" s="655"/>
      <c r="O193" s="655"/>
      <c r="P193" s="655"/>
      <c r="Q193" s="655"/>
      <c r="R193" s="656"/>
      <c r="S193" s="657"/>
      <c r="T193" s="722"/>
      <c r="U193" s="2391"/>
      <c r="V193" s="2391"/>
      <c r="W193" s="1164"/>
      <c r="X193" s="1164"/>
      <c r="Y193" s="1164"/>
      <c r="Z193" s="1164"/>
      <c r="AA193" s="1640"/>
      <c r="AB193" s="1164"/>
      <c r="AC193" s="1799"/>
      <c r="AD193" s="633"/>
      <c r="AE193" s="1164"/>
      <c r="AF193" s="1164"/>
      <c r="AG193" s="1640"/>
      <c r="AH193" s="1640"/>
      <c r="AI193" s="1640"/>
      <c r="AJ193" s="1640"/>
      <c r="AK193" s="1640"/>
      <c r="AL193" s="1640"/>
      <c r="AM193" s="1640"/>
      <c r="AN193" s="1640"/>
      <c r="AO193" s="1640"/>
      <c r="AP193" s="1640"/>
      <c r="AQ193" s="1640"/>
      <c r="AR193" s="1640"/>
      <c r="AS193" s="1640"/>
      <c r="AT193" s="1640"/>
      <c r="AU193" s="1640"/>
      <c r="AV193" s="1640"/>
      <c r="AW193" s="1640"/>
      <c r="AX193" s="1640"/>
      <c r="AY193" s="1640"/>
      <c r="AZ193" s="1640"/>
      <c r="BA193" s="1640"/>
      <c r="BB193" s="1640"/>
      <c r="BC193" s="1640"/>
      <c r="BD193" s="1640"/>
      <c r="BE193" s="1640"/>
      <c r="BF193" s="1640"/>
      <c r="BG193" s="1640"/>
      <c r="BH193" s="1640"/>
      <c r="BI193" s="1640"/>
      <c r="BJ193" s="1640"/>
      <c r="BK193" s="1640"/>
      <c r="BL193" s="1640"/>
      <c r="BM193" s="1640"/>
      <c r="BN193" s="1640"/>
      <c r="BO193" s="1640"/>
      <c r="BP193" s="1640"/>
      <c r="BQ193" s="1640"/>
      <c r="BR193" s="1640"/>
      <c r="BS193" s="1640"/>
      <c r="BT193" s="1640"/>
      <c r="BU193" s="1640"/>
      <c r="BV193" s="1164"/>
      <c r="BW193" s="1164"/>
      <c r="BX193" s="1164"/>
      <c r="BY193" s="1164"/>
      <c r="BZ193" s="1164"/>
      <c r="CA193" s="1164"/>
      <c r="CB193" s="1164"/>
      <c r="CC193" s="1164"/>
      <c r="CD193" s="1164"/>
      <c r="CE193" s="1164"/>
      <c r="CF193" s="1851"/>
    </row>
    <row customHeight="1" ht="15" hidden="1">
      <c r="A194" s="627" t="s">
        <v>231</v>
      </c>
      <c r="B194" s="628"/>
      <c r="C194" s="628" t="s">
        <v>22</v>
      </c>
      <c r="D194" s="2595" t="s">
        <v>779</v>
      </c>
      <c r="E194" s="2394" t="s">
        <v>173</v>
      </c>
      <c r="F194" s="2395"/>
      <c r="G194" s="2396"/>
      <c r="H194" s="2400" t="str">
        <f>IF(A194="","",INDEX(DIFFERENTIATION_UNMERGE_VD,MATCH(A194,DIFFERENTIATION_ID_DIFF,0)))</f>
        <v>Холодное водоснабжение. Питьевая вода</v>
      </c>
      <c r="I194" s="2400"/>
      <c r="J194" s="2400"/>
      <c r="K194" s="2400"/>
      <c r="L194" s="2400"/>
      <c r="M194" s="2400"/>
      <c r="N194" s="2400"/>
      <c r="O194" s="2400"/>
      <c r="P194" s="2400"/>
      <c r="Q194" s="2400"/>
      <c r="R194" s="2400"/>
      <c r="S194" s="723"/>
      <c r="T194" s="720"/>
      <c r="U194" s="629"/>
      <c r="V194" s="629"/>
      <c r="W194" s="630"/>
      <c r="X194" s="630"/>
      <c r="Y194" s="630"/>
      <c r="Z194" s="630"/>
      <c r="AA194" s="631"/>
      <c r="AB194" s="632"/>
      <c r="AC194" s="2392"/>
      <c r="AD194" s="633"/>
      <c r="AE194" s="634" t="s">
        <v>22</v>
      </c>
      <c r="AF194" s="634"/>
      <c r="AG194" s="635" t="s">
        <v>754</v>
      </c>
      <c r="AH194" s="636">
        <v>3</v>
      </c>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30"/>
      <c r="BW194" s="630"/>
      <c r="BX194" s="630"/>
      <c r="BY194" s="630"/>
      <c r="BZ194" s="630"/>
      <c r="CA194" s="630"/>
      <c r="CB194" s="630"/>
      <c r="CC194" s="630"/>
      <c r="CD194" s="630"/>
      <c r="CE194" s="630"/>
      <c r="CF194" s="1851"/>
    </row>
    <row customHeight="1" ht="15" hidden="1">
      <c r="A195" s="627"/>
      <c r="B195" s="628"/>
      <c r="C195" s="628"/>
      <c r="D195" s="2596"/>
      <c r="E195" s="2394" t="s">
        <v>702</v>
      </c>
      <c r="F195" s="2395"/>
      <c r="G195" s="2396"/>
      <c r="H195" s="2400" t="str">
        <f>IF(A194="","",INDEX(DIFFERENTIATION_UNMERGE_AREA,MATCH(A194,DIFFERENTIATION_ID_DIFF,0)))</f>
        <v>Территория 11</v>
      </c>
      <c r="I195" s="2400"/>
      <c r="J195" s="2400"/>
      <c r="K195" s="2400"/>
      <c r="L195" s="2400"/>
      <c r="M195" s="2400"/>
      <c r="N195" s="2400"/>
      <c r="O195" s="2400"/>
      <c r="P195" s="2400"/>
      <c r="Q195" s="2400"/>
      <c r="R195" s="2400"/>
      <c r="S195" s="723"/>
      <c r="T195" s="720"/>
      <c r="U195" s="629"/>
      <c r="V195" s="629"/>
      <c r="W195" s="630"/>
      <c r="X195" s="630"/>
      <c r="Y195" s="630"/>
      <c r="Z195" s="630"/>
      <c r="AA195" s="631"/>
      <c r="AB195" s="632"/>
      <c r="AC195" s="2392"/>
      <c r="AD195" s="633"/>
      <c r="AE195" s="634"/>
      <c r="AF195" s="634"/>
      <c r="AG195" s="635"/>
      <c r="AH195" s="636"/>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629"/>
      <c r="BI195" s="629"/>
      <c r="BJ195" s="629"/>
      <c r="BK195" s="629"/>
      <c r="BL195" s="629"/>
      <c r="BM195" s="629"/>
      <c r="BN195" s="629"/>
      <c r="BO195" s="629"/>
      <c r="BP195" s="629"/>
      <c r="BQ195" s="629"/>
      <c r="BR195" s="629"/>
      <c r="BS195" s="629"/>
      <c r="BT195" s="629"/>
      <c r="BU195" s="629"/>
      <c r="BV195" s="630"/>
      <c r="BW195" s="630"/>
      <c r="BX195" s="630"/>
      <c r="BY195" s="630"/>
      <c r="BZ195" s="630"/>
      <c r="CA195" s="630"/>
      <c r="CB195" s="630"/>
      <c r="CC195" s="630"/>
      <c r="CD195" s="630"/>
      <c r="CE195" s="630"/>
      <c r="CF195" s="1851"/>
    </row>
    <row customHeight="1" ht="15" hidden="1">
      <c r="A196" s="627"/>
      <c r="B196" s="628"/>
      <c r="C196" s="628"/>
      <c r="D196" s="2596"/>
      <c r="E196" s="2394" t="s">
        <v>703</v>
      </c>
      <c r="F196" s="2395"/>
      <c r="G196" s="2396"/>
      <c r="H196" s="2400" t="str">
        <f>IF(A194="","",INDEX(DIFFERENTIATION_UNMERGE_SYSTEM,MATCH(A194,DIFFERENTIATION_ID_DIFF,0)))</f>
        <v>Централизованная система водоснабжения  Дальнереченского городского округа</v>
      </c>
      <c r="I196" s="2400"/>
      <c r="J196" s="2400"/>
      <c r="K196" s="2400"/>
      <c r="L196" s="2400"/>
      <c r="M196" s="2400"/>
      <c r="N196" s="2400"/>
      <c r="O196" s="2400"/>
      <c r="P196" s="2400"/>
      <c r="Q196" s="2400"/>
      <c r="R196" s="2400"/>
      <c r="S196" s="723"/>
      <c r="T196" s="720"/>
      <c r="U196" s="629"/>
      <c r="V196" s="629"/>
      <c r="W196" s="630"/>
      <c r="X196" s="630"/>
      <c r="Y196" s="630"/>
      <c r="Z196" s="630"/>
      <c r="AA196" s="631"/>
      <c r="AB196" s="632"/>
      <c r="AC196" s="2392"/>
      <c r="AD196" s="633"/>
      <c r="AE196" s="634"/>
      <c r="AF196" s="634"/>
      <c r="AG196" s="635"/>
      <c r="AH196" s="636"/>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30"/>
      <c r="BW196" s="630"/>
      <c r="BX196" s="630"/>
      <c r="BY196" s="630"/>
      <c r="BZ196" s="630"/>
      <c r="CA196" s="630"/>
      <c r="CB196" s="630"/>
      <c r="CC196" s="630"/>
      <c r="CD196" s="630"/>
      <c r="CE196" s="630"/>
      <c r="CF196" s="1851"/>
    </row>
    <row customHeight="1" ht="24.75" hidden="1">
      <c r="A197" s="1809"/>
      <c r="B197" s="1164"/>
      <c r="C197" s="416"/>
      <c r="D197" s="2596"/>
      <c r="E197" s="2393" t="s">
        <v>755</v>
      </c>
      <c r="F197" s="2393"/>
      <c r="G197" s="2393"/>
      <c r="H197" s="2393"/>
      <c r="I197" s="2393"/>
      <c r="J197" s="2393"/>
      <c r="K197" s="2393"/>
      <c r="L197" s="2393"/>
      <c r="M197" s="2393"/>
      <c r="N197" s="2393"/>
      <c r="O197" s="2393"/>
      <c r="P197" s="2393"/>
      <c r="Q197" s="562">
        <f>SUMIF(T198:T199,"i",Q198:Q199)</f>
        <v>0</v>
      </c>
      <c r="R197" s="1021"/>
      <c r="S197" s="1801" t="s">
        <v>756</v>
      </c>
      <c r="T197" s="721" t="s">
        <v>757</v>
      </c>
      <c r="U197" s="2391">
        <v>1</v>
      </c>
      <c r="V197" s="2391" t="str">
        <f>INDEX(B_FHD_FLAG_INDEX_1,1,MATCH(A194,B_FHD_FLAG_DIFFERENTIATION,0))</f>
        <v>отсутствует</v>
      </c>
      <c r="W197" s="1164"/>
      <c r="X197" s="1164"/>
      <c r="Y197" s="1164"/>
      <c r="Z197" s="1164"/>
      <c r="AA197" s="1640"/>
      <c r="AB197" s="1164"/>
      <c r="AC197" s="2392"/>
      <c r="AD197" s="633"/>
      <c r="AE197" s="1164"/>
      <c r="AF197" s="1164"/>
      <c r="AG197" s="1640"/>
      <c r="AH197" s="1640"/>
      <c r="AI197" s="1640"/>
      <c r="AJ197" s="1640"/>
      <c r="AK197" s="1640"/>
      <c r="AL197" s="1640"/>
      <c r="AM197" s="1640"/>
      <c r="AN197" s="1640"/>
      <c r="AO197" s="1640"/>
      <c r="AP197" s="1640"/>
      <c r="AQ197" s="1640"/>
      <c r="AR197" s="1640"/>
      <c r="AS197" s="1640"/>
      <c r="AT197" s="1640"/>
      <c r="AU197" s="1640"/>
      <c r="AV197" s="1640"/>
      <c r="AW197" s="1640"/>
      <c r="AX197" s="1640"/>
      <c r="AY197" s="1640"/>
      <c r="AZ197" s="1640"/>
      <c r="BA197" s="1640"/>
      <c r="BB197" s="1640"/>
      <c r="BC197" s="1640"/>
      <c r="BD197" s="1640"/>
      <c r="BE197" s="1640"/>
      <c r="BF197" s="1640"/>
      <c r="BG197" s="1640"/>
      <c r="BH197" s="1640"/>
      <c r="BI197" s="1640"/>
      <c r="BJ197" s="1640"/>
      <c r="BK197" s="1640"/>
      <c r="BL197" s="1640"/>
      <c r="BM197" s="1640"/>
      <c r="BN197" s="1640"/>
      <c r="BO197" s="1640"/>
      <c r="BP197" s="1640"/>
      <c r="BQ197" s="1640"/>
      <c r="BR197" s="1640"/>
      <c r="BS197" s="1640"/>
      <c r="BT197" s="1640"/>
      <c r="BU197" s="1640"/>
      <c r="BV197" s="1164"/>
      <c r="BW197" s="1164"/>
      <c r="BX197" s="1164"/>
      <c r="BY197" s="1164"/>
      <c r="BZ197" s="1164"/>
      <c r="CA197" s="1164"/>
      <c r="CB197" s="1164"/>
      <c r="CC197" s="1164"/>
      <c r="CD197" s="1164"/>
      <c r="CE197" s="1164"/>
      <c r="CF197" s="1851"/>
    </row>
    <row customHeight="1" ht="11.25" hidden="1">
      <c r="A198" s="1796"/>
      <c r="B198" s="1640"/>
      <c r="C198" s="1640"/>
      <c r="D198" s="2596"/>
      <c r="E198" s="639"/>
      <c r="F198" s="639">
        <v>0</v>
      </c>
      <c r="G198" s="639"/>
      <c r="H198" s="639"/>
      <c r="I198" s="639"/>
      <c r="J198" s="639"/>
      <c r="K198" s="639"/>
      <c r="L198" s="639"/>
      <c r="M198" s="639"/>
      <c r="N198" s="639"/>
      <c r="O198" s="639"/>
      <c r="P198" s="639"/>
      <c r="Q198" s="639"/>
      <c r="R198" s="639"/>
      <c r="S198" s="640"/>
      <c r="T198" s="722"/>
      <c r="U198" s="2391"/>
      <c r="V198" s="2391"/>
      <c r="W198" s="1640"/>
      <c r="X198" s="1640"/>
      <c r="Y198" s="1640"/>
      <c r="Z198" s="1640"/>
      <c r="AA198" s="1640"/>
      <c r="AB198" s="1164"/>
      <c r="AC198" s="2392"/>
      <c r="AD198" s="633"/>
      <c r="AE198" s="1164"/>
      <c r="AF198" s="1164"/>
      <c r="AG198" s="1640"/>
      <c r="AH198" s="1640"/>
      <c r="AI198" s="1640"/>
      <c r="AJ198" s="1640"/>
      <c r="AK198" s="1640"/>
      <c r="AL198" s="1640"/>
      <c r="AM198" s="1640"/>
      <c r="AN198" s="1640"/>
      <c r="AO198" s="1640"/>
      <c r="AP198" s="1640"/>
      <c r="AQ198" s="1640"/>
      <c r="AR198" s="1640"/>
      <c r="AS198" s="1640"/>
      <c r="AT198" s="1640"/>
      <c r="AU198" s="1640"/>
      <c r="AV198" s="1640"/>
      <c r="AW198" s="1640"/>
      <c r="AX198" s="1640"/>
      <c r="AY198" s="1640"/>
      <c r="AZ198" s="1640"/>
      <c r="BA198" s="1640"/>
      <c r="BB198" s="1640"/>
      <c r="BC198" s="1640"/>
      <c r="BD198" s="1640"/>
      <c r="BE198" s="1640"/>
      <c r="BF198" s="1640"/>
      <c r="BG198" s="1640"/>
      <c r="BH198" s="1640"/>
      <c r="BI198" s="1640"/>
      <c r="BJ198" s="1640"/>
      <c r="BK198" s="1640"/>
      <c r="BL198" s="1640"/>
      <c r="BM198" s="1640"/>
      <c r="BN198" s="1640"/>
      <c r="BO198" s="1640"/>
      <c r="BP198" s="1640"/>
      <c r="BQ198" s="1640"/>
      <c r="BR198" s="1640"/>
      <c r="BS198" s="1640"/>
      <c r="BT198" s="1640"/>
      <c r="BU198" s="1640"/>
      <c r="BV198" s="1640"/>
      <c r="BW198" s="1640"/>
      <c r="BX198" s="1640"/>
      <c r="BY198" s="1640"/>
      <c r="BZ198" s="1640"/>
      <c r="CA198" s="1640"/>
      <c r="CB198" s="1640"/>
      <c r="CC198" s="1640"/>
      <c r="CD198" s="1640"/>
      <c r="CE198" s="1640"/>
      <c r="CF198" s="1851"/>
    </row>
    <row customHeight="1" ht="11.25" hidden="1">
      <c r="A199" s="1809"/>
      <c r="B199" s="1164"/>
      <c r="C199" s="416"/>
      <c r="D199" s="2596"/>
      <c r="E199" s="653" t="s">
        <v>22</v>
      </c>
      <c r="F199" s="1172" t="s">
        <v>22</v>
      </c>
      <c r="G199" s="1172" t="s">
        <v>760</v>
      </c>
      <c r="H199" s="655" t="s">
        <v>22</v>
      </c>
      <c r="I199" s="655"/>
      <c r="J199" s="655"/>
      <c r="K199" s="655"/>
      <c r="L199" s="655"/>
      <c r="M199" s="655"/>
      <c r="N199" s="655"/>
      <c r="O199" s="655"/>
      <c r="P199" s="655"/>
      <c r="Q199" s="655"/>
      <c r="R199" s="656"/>
      <c r="S199" s="657"/>
      <c r="T199" s="722"/>
      <c r="U199" s="2391"/>
      <c r="V199" s="2391"/>
      <c r="W199" s="1164"/>
      <c r="X199" s="1164"/>
      <c r="Y199" s="1164"/>
      <c r="Z199" s="1164"/>
      <c r="AA199" s="1640"/>
      <c r="AB199" s="1164"/>
      <c r="AC199" s="2392"/>
      <c r="AD199" s="633"/>
      <c r="AE199" s="1164"/>
      <c r="AF199" s="1164"/>
      <c r="AG199" s="1640"/>
      <c r="AH199" s="1640"/>
      <c r="AI199" s="1640"/>
      <c r="AJ199" s="1640"/>
      <c r="AK199" s="1640"/>
      <c r="AL199" s="1640"/>
      <c r="AM199" s="1640"/>
      <c r="AN199" s="1640"/>
      <c r="AO199" s="1640"/>
      <c r="AP199" s="1640"/>
      <c r="AQ199" s="1640"/>
      <c r="AR199" s="1640"/>
      <c r="AS199" s="1640"/>
      <c r="AT199" s="1640"/>
      <c r="AU199" s="1640"/>
      <c r="AV199" s="1640"/>
      <c r="AW199" s="1640"/>
      <c r="AX199" s="1640"/>
      <c r="AY199" s="1640"/>
      <c r="AZ199" s="1640"/>
      <c r="BA199" s="1640"/>
      <c r="BB199" s="1640"/>
      <c r="BC199" s="1640"/>
      <c r="BD199" s="1640"/>
      <c r="BE199" s="1640"/>
      <c r="BF199" s="1640"/>
      <c r="BG199" s="1640"/>
      <c r="BH199" s="1640"/>
      <c r="BI199" s="1640"/>
      <c r="BJ199" s="1640"/>
      <c r="BK199" s="1640"/>
      <c r="BL199" s="1640"/>
      <c r="BM199" s="1640"/>
      <c r="BN199" s="1640"/>
      <c r="BO199" s="1640"/>
      <c r="BP199" s="1640"/>
      <c r="BQ199" s="1640"/>
      <c r="BR199" s="1640"/>
      <c r="BS199" s="1640"/>
      <c r="BT199" s="1640"/>
      <c r="BU199" s="1640"/>
      <c r="BV199" s="1164"/>
      <c r="BW199" s="1164"/>
      <c r="BX199" s="1164"/>
      <c r="BY199" s="1164"/>
      <c r="BZ199" s="1164"/>
      <c r="CA199" s="1164"/>
      <c r="CB199" s="1164"/>
      <c r="CC199" s="1164"/>
      <c r="CD199" s="1164"/>
      <c r="CE199" s="1164"/>
      <c r="CF199" s="1851"/>
    </row>
    <row customHeight="1" ht="24.75" hidden="1">
      <c r="A200" s="1809"/>
      <c r="B200" s="1164"/>
      <c r="C200" s="416"/>
      <c r="D200" s="2596"/>
      <c r="E200" s="2393" t="s">
        <v>758</v>
      </c>
      <c r="F200" s="2393"/>
      <c r="G200" s="2393"/>
      <c r="H200" s="2393"/>
      <c r="I200" s="2393"/>
      <c r="J200" s="2393"/>
      <c r="K200" s="2393"/>
      <c r="L200" s="2393"/>
      <c r="M200" s="2393"/>
      <c r="N200" s="2393"/>
      <c r="O200" s="2393"/>
      <c r="P200" s="2393"/>
      <c r="Q200" s="562">
        <f>SUMIF(T201:T202,"i",Q201:Q202)</f>
        <v>0</v>
      </c>
      <c r="R200" s="1021"/>
      <c r="S200" s="1801" t="s">
        <v>759</v>
      </c>
      <c r="T200" s="721" t="s">
        <v>757</v>
      </c>
      <c r="U200" s="2391">
        <v>1</v>
      </c>
      <c r="V200" s="2391" t="str">
        <f>INDEX(B_FHD_FLAG_INDEX_2,1,MATCH(A194,B_FHD_FLAG_DIFFERENTIATION,0))</f>
        <v>отсутствует</v>
      </c>
      <c r="W200" s="1164"/>
      <c r="X200" s="1164"/>
      <c r="Y200" s="1164"/>
      <c r="Z200" s="1164"/>
      <c r="AA200" s="1640"/>
      <c r="AB200" s="1164"/>
      <c r="AC200" s="1799"/>
      <c r="AD200" s="633"/>
      <c r="AE200" s="1164"/>
      <c r="AF200" s="1164"/>
      <c r="AG200" s="1640"/>
      <c r="AH200" s="1640"/>
      <c r="AI200" s="1640"/>
      <c r="AJ200" s="1640"/>
      <c r="AK200" s="1640"/>
      <c r="AL200" s="1640"/>
      <c r="AM200" s="1640"/>
      <c r="AN200" s="1640"/>
      <c r="AO200" s="1640"/>
      <c r="AP200" s="1640"/>
      <c r="AQ200" s="1640"/>
      <c r="AR200" s="1640"/>
      <c r="AS200" s="1640"/>
      <c r="AT200" s="1640"/>
      <c r="AU200" s="1640"/>
      <c r="AV200" s="1640"/>
      <c r="AW200" s="1640"/>
      <c r="AX200" s="1640"/>
      <c r="AY200" s="1640"/>
      <c r="AZ200" s="1640"/>
      <c r="BA200" s="1640"/>
      <c r="BB200" s="1640"/>
      <c r="BC200" s="1640"/>
      <c r="BD200" s="1640"/>
      <c r="BE200" s="1640"/>
      <c r="BF200" s="1640"/>
      <c r="BG200" s="1640"/>
      <c r="BH200" s="1640"/>
      <c r="BI200" s="1640"/>
      <c r="BJ200" s="1640"/>
      <c r="BK200" s="1640"/>
      <c r="BL200" s="1640"/>
      <c r="BM200" s="1640"/>
      <c r="BN200" s="1640"/>
      <c r="BO200" s="1640"/>
      <c r="BP200" s="1640"/>
      <c r="BQ200" s="1640"/>
      <c r="BR200" s="1640"/>
      <c r="BS200" s="1640"/>
      <c r="BT200" s="1640"/>
      <c r="BU200" s="1640"/>
      <c r="BV200" s="1164"/>
      <c r="BW200" s="1164"/>
      <c r="BX200" s="1164"/>
      <c r="BY200" s="1164"/>
      <c r="BZ200" s="1164"/>
      <c r="CA200" s="1164"/>
      <c r="CB200" s="1164"/>
      <c r="CC200" s="1164"/>
      <c r="CD200" s="1164"/>
      <c r="CE200" s="1164"/>
      <c r="CF200" s="1851"/>
    </row>
    <row customHeight="1" ht="11.25" hidden="1">
      <c r="A201" s="1796"/>
      <c r="B201" s="1640"/>
      <c r="C201" s="1640"/>
      <c r="D201" s="2596"/>
      <c r="E201" s="639"/>
      <c r="F201" s="639">
        <v>0</v>
      </c>
      <c r="G201" s="639"/>
      <c r="H201" s="639"/>
      <c r="I201" s="639"/>
      <c r="J201" s="639"/>
      <c r="K201" s="639"/>
      <c r="L201" s="639"/>
      <c r="M201" s="639"/>
      <c r="N201" s="639"/>
      <c r="O201" s="639"/>
      <c r="P201" s="639"/>
      <c r="Q201" s="639"/>
      <c r="R201" s="639"/>
      <c r="S201" s="640"/>
      <c r="T201" s="722"/>
      <c r="U201" s="2391"/>
      <c r="V201" s="2391"/>
      <c r="W201" s="1640"/>
      <c r="X201" s="1640"/>
      <c r="Y201" s="1640"/>
      <c r="Z201" s="1640"/>
      <c r="AA201" s="1640"/>
      <c r="AB201" s="1164"/>
      <c r="AC201" s="1799"/>
      <c r="AD201" s="633"/>
      <c r="AE201" s="1164"/>
      <c r="AF201" s="1164"/>
      <c r="AG201" s="1640"/>
      <c r="AH201" s="1640"/>
      <c r="AI201" s="1640"/>
      <c r="AJ201" s="1640"/>
      <c r="AK201" s="1640"/>
      <c r="AL201" s="1640"/>
      <c r="AM201" s="1640"/>
      <c r="AN201" s="1640"/>
      <c r="AO201" s="1640"/>
      <c r="AP201" s="1640"/>
      <c r="AQ201" s="1640"/>
      <c r="AR201" s="1640"/>
      <c r="AS201" s="1640"/>
      <c r="AT201" s="1640"/>
      <c r="AU201" s="1640"/>
      <c r="AV201" s="1640"/>
      <c r="AW201" s="1640"/>
      <c r="AX201" s="1640"/>
      <c r="AY201" s="1640"/>
      <c r="AZ201" s="1640"/>
      <c r="BA201" s="1640"/>
      <c r="BB201" s="1640"/>
      <c r="BC201" s="1640"/>
      <c r="BD201" s="1640"/>
      <c r="BE201" s="1640"/>
      <c r="BF201" s="1640"/>
      <c r="BG201" s="1640"/>
      <c r="BH201" s="1640"/>
      <c r="BI201" s="1640"/>
      <c r="BJ201" s="1640"/>
      <c r="BK201" s="1640"/>
      <c r="BL201" s="1640"/>
      <c r="BM201" s="1640"/>
      <c r="BN201" s="1640"/>
      <c r="BO201" s="1640"/>
      <c r="BP201" s="1640"/>
      <c r="BQ201" s="1640"/>
      <c r="BR201" s="1640"/>
      <c r="BS201" s="1640"/>
      <c r="BT201" s="1640"/>
      <c r="BU201" s="1640"/>
      <c r="BV201" s="1640"/>
      <c r="BW201" s="1640"/>
      <c r="BX201" s="1640"/>
      <c r="BY201" s="1640"/>
      <c r="BZ201" s="1640"/>
      <c r="CA201" s="1640"/>
      <c r="CB201" s="1640"/>
      <c r="CC201" s="1640"/>
      <c r="CD201" s="1640"/>
      <c r="CE201" s="1640"/>
      <c r="CF201" s="1851"/>
    </row>
    <row customHeight="1" ht="11.25" hidden="1">
      <c r="A202" s="1809"/>
      <c r="B202" s="1164"/>
      <c r="C202" s="416"/>
      <c r="D202" s="2597"/>
      <c r="E202" s="653" t="s">
        <v>22</v>
      </c>
      <c r="F202" s="1172" t="s">
        <v>22</v>
      </c>
      <c r="G202" s="1172" t="s">
        <v>760</v>
      </c>
      <c r="H202" s="655" t="s">
        <v>22</v>
      </c>
      <c r="I202" s="655"/>
      <c r="J202" s="655"/>
      <c r="K202" s="655"/>
      <c r="L202" s="655"/>
      <c r="M202" s="655"/>
      <c r="N202" s="655"/>
      <c r="O202" s="655"/>
      <c r="P202" s="655"/>
      <c r="Q202" s="655"/>
      <c r="R202" s="656"/>
      <c r="S202" s="657"/>
      <c r="T202" s="722"/>
      <c r="U202" s="2391"/>
      <c r="V202" s="2391"/>
      <c r="W202" s="1164"/>
      <c r="X202" s="1164"/>
      <c r="Y202" s="1164"/>
      <c r="Z202" s="1164"/>
      <c r="AA202" s="1640"/>
      <c r="AB202" s="1164"/>
      <c r="AC202" s="1799"/>
      <c r="AD202" s="633"/>
      <c r="AE202" s="1164"/>
      <c r="AF202" s="1164"/>
      <c r="AG202" s="1640"/>
      <c r="AH202" s="1640"/>
      <c r="AI202" s="1640"/>
      <c r="AJ202" s="1640"/>
      <c r="AK202" s="1640"/>
      <c r="AL202" s="1640"/>
      <c r="AM202" s="1640"/>
      <c r="AN202" s="1640"/>
      <c r="AO202" s="1640"/>
      <c r="AP202" s="1640"/>
      <c r="AQ202" s="1640"/>
      <c r="AR202" s="1640"/>
      <c r="AS202" s="1640"/>
      <c r="AT202" s="1640"/>
      <c r="AU202" s="1640"/>
      <c r="AV202" s="1640"/>
      <c r="AW202" s="1640"/>
      <c r="AX202" s="1640"/>
      <c r="AY202" s="1640"/>
      <c r="AZ202" s="1640"/>
      <c r="BA202" s="1640"/>
      <c r="BB202" s="1640"/>
      <c r="BC202" s="1640"/>
      <c r="BD202" s="1640"/>
      <c r="BE202" s="1640"/>
      <c r="BF202" s="1640"/>
      <c r="BG202" s="1640"/>
      <c r="BH202" s="1640"/>
      <c r="BI202" s="1640"/>
      <c r="BJ202" s="1640"/>
      <c r="BK202" s="1640"/>
      <c r="BL202" s="1640"/>
      <c r="BM202" s="1640"/>
      <c r="BN202" s="1640"/>
      <c r="BO202" s="1640"/>
      <c r="BP202" s="1640"/>
      <c r="BQ202" s="1640"/>
      <c r="BR202" s="1640"/>
      <c r="BS202" s="1640"/>
      <c r="BT202" s="1640"/>
      <c r="BU202" s="1640"/>
      <c r="BV202" s="1164"/>
      <c r="BW202" s="1164"/>
      <c r="BX202" s="1164"/>
      <c r="BY202" s="1164"/>
      <c r="BZ202" s="1164"/>
      <c r="CA202" s="1164"/>
      <c r="CB202" s="1164"/>
      <c r="CC202" s="1164"/>
      <c r="CD202" s="1164"/>
      <c r="CE202" s="1164"/>
      <c r="CF202" s="1851"/>
    </row>
    <row customHeight="1" ht="15" hidden="1">
      <c r="A203" s="627" t="s">
        <v>235</v>
      </c>
      <c r="B203" s="628"/>
      <c r="C203" s="628" t="s">
        <v>22</v>
      </c>
      <c r="D203" s="2595" t="s">
        <v>780</v>
      </c>
      <c r="E203" s="2394" t="s">
        <v>173</v>
      </c>
      <c r="F203" s="2395"/>
      <c r="G203" s="2396"/>
      <c r="H203" s="2400" t="str">
        <f>IF(A203="","",INDEX(DIFFERENTIATION_UNMERGE_VD,MATCH(A203,DIFFERENTIATION_ID_DIFF,0)))</f>
        <v>Холодное водоснабжение. Питьевая вода</v>
      </c>
      <c r="I203" s="2400"/>
      <c r="J203" s="2400"/>
      <c r="K203" s="2400"/>
      <c r="L203" s="2400"/>
      <c r="M203" s="2400"/>
      <c r="N203" s="2400"/>
      <c r="O203" s="2400"/>
      <c r="P203" s="2400"/>
      <c r="Q203" s="2400"/>
      <c r="R203" s="2400"/>
      <c r="S203" s="723"/>
      <c r="T203" s="720"/>
      <c r="U203" s="629"/>
      <c r="V203" s="629"/>
      <c r="W203" s="630"/>
      <c r="X203" s="630"/>
      <c r="Y203" s="630"/>
      <c r="Z203" s="630"/>
      <c r="AA203" s="631"/>
      <c r="AB203" s="632"/>
      <c r="AC203" s="2392"/>
      <c r="AD203" s="633"/>
      <c r="AE203" s="634" t="s">
        <v>22</v>
      </c>
      <c r="AF203" s="634"/>
      <c r="AG203" s="635" t="s">
        <v>754</v>
      </c>
      <c r="AH203" s="636">
        <v>3</v>
      </c>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30"/>
      <c r="BW203" s="630"/>
      <c r="BX203" s="630"/>
      <c r="BY203" s="630"/>
      <c r="BZ203" s="630"/>
      <c r="CA203" s="630"/>
      <c r="CB203" s="630"/>
      <c r="CC203" s="630"/>
      <c r="CD203" s="630"/>
      <c r="CE203" s="630"/>
      <c r="CF203" s="1851"/>
    </row>
    <row customHeight="1" ht="15" hidden="1">
      <c r="A204" s="627"/>
      <c r="B204" s="628"/>
      <c r="C204" s="628"/>
      <c r="D204" s="2596"/>
      <c r="E204" s="2394" t="s">
        <v>702</v>
      </c>
      <c r="F204" s="2395"/>
      <c r="G204" s="2396"/>
      <c r="H204" s="2400" t="str">
        <f>IF(A203="","",INDEX(DIFFERENTIATION_UNMERGE_AREA,MATCH(A203,DIFFERENTIATION_ID_DIFF,0)))</f>
        <v>Территория 12</v>
      </c>
      <c r="I204" s="2400"/>
      <c r="J204" s="2400"/>
      <c r="K204" s="2400"/>
      <c r="L204" s="2400"/>
      <c r="M204" s="2400"/>
      <c r="N204" s="2400"/>
      <c r="O204" s="2400"/>
      <c r="P204" s="2400"/>
      <c r="Q204" s="2400"/>
      <c r="R204" s="2400"/>
      <c r="S204" s="723"/>
      <c r="T204" s="720"/>
      <c r="U204" s="629"/>
      <c r="V204" s="629"/>
      <c r="W204" s="630"/>
      <c r="X204" s="630"/>
      <c r="Y204" s="630"/>
      <c r="Z204" s="630"/>
      <c r="AA204" s="631"/>
      <c r="AB204" s="632"/>
      <c r="AC204" s="2392"/>
      <c r="AD204" s="633"/>
      <c r="AE204" s="634"/>
      <c r="AF204" s="634"/>
      <c r="AG204" s="635"/>
      <c r="AH204" s="636"/>
      <c r="AI204" s="629"/>
      <c r="AJ204" s="629"/>
      <c r="AK204" s="629"/>
      <c r="AL204" s="629"/>
      <c r="AM204" s="629"/>
      <c r="AN204" s="629"/>
      <c r="AO204" s="629"/>
      <c r="AP204" s="629"/>
      <c r="AQ204" s="629"/>
      <c r="AR204" s="629"/>
      <c r="AS204" s="629"/>
      <c r="AT204" s="629"/>
      <c r="AU204" s="629"/>
      <c r="AV204" s="629"/>
      <c r="AW204" s="629"/>
      <c r="AX204" s="629"/>
      <c r="AY204" s="629"/>
      <c r="AZ204" s="629"/>
      <c r="BA204" s="629"/>
      <c r="BB204" s="629"/>
      <c r="BC204" s="629"/>
      <c r="BD204" s="629"/>
      <c r="BE204" s="629"/>
      <c r="BF204" s="629"/>
      <c r="BG204" s="629"/>
      <c r="BH204" s="629"/>
      <c r="BI204" s="629"/>
      <c r="BJ204" s="629"/>
      <c r="BK204" s="629"/>
      <c r="BL204" s="629"/>
      <c r="BM204" s="629"/>
      <c r="BN204" s="629"/>
      <c r="BO204" s="629"/>
      <c r="BP204" s="629"/>
      <c r="BQ204" s="629"/>
      <c r="BR204" s="629"/>
      <c r="BS204" s="629"/>
      <c r="BT204" s="629"/>
      <c r="BU204" s="629"/>
      <c r="BV204" s="630"/>
      <c r="BW204" s="630"/>
      <c r="BX204" s="630"/>
      <c r="BY204" s="630"/>
      <c r="BZ204" s="630"/>
      <c r="CA204" s="630"/>
      <c r="CB204" s="630"/>
      <c r="CC204" s="630"/>
      <c r="CD204" s="630"/>
      <c r="CE204" s="630"/>
      <c r="CF204" s="1851"/>
    </row>
    <row customHeight="1" ht="15" hidden="1">
      <c r="A205" s="627"/>
      <c r="B205" s="628"/>
      <c r="C205" s="628"/>
      <c r="D205" s="2596"/>
      <c r="E205" s="2394" t="s">
        <v>703</v>
      </c>
      <c r="F205" s="2395"/>
      <c r="G205" s="2396"/>
      <c r="H205" s="2400" t="str">
        <f>IF(A203="","",INDEX(DIFFERENTIATION_UNMERGE_SYSTEM,MATCH(A203,DIFFERENTIATION_ID_DIFF,0)))</f>
        <v>Централизованная истема водоснабжения Варфоломеевского сельского поселения (железнодорожная станция Варфоломеевка)</v>
      </c>
      <c r="I205" s="2400"/>
      <c r="J205" s="2400"/>
      <c r="K205" s="2400"/>
      <c r="L205" s="2400"/>
      <c r="M205" s="2400"/>
      <c r="N205" s="2400"/>
      <c r="O205" s="2400"/>
      <c r="P205" s="2400"/>
      <c r="Q205" s="2400"/>
      <c r="R205" s="2400"/>
      <c r="S205" s="723"/>
      <c r="T205" s="720"/>
      <c r="U205" s="629"/>
      <c r="V205" s="629"/>
      <c r="W205" s="630"/>
      <c r="X205" s="630"/>
      <c r="Y205" s="630"/>
      <c r="Z205" s="630"/>
      <c r="AA205" s="631"/>
      <c r="AB205" s="632"/>
      <c r="AC205" s="2392"/>
      <c r="AD205" s="633"/>
      <c r="AE205" s="634"/>
      <c r="AF205" s="634"/>
      <c r="AG205" s="635"/>
      <c r="AH205" s="636"/>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30"/>
      <c r="BW205" s="630"/>
      <c r="BX205" s="630"/>
      <c r="BY205" s="630"/>
      <c r="BZ205" s="630"/>
      <c r="CA205" s="630"/>
      <c r="CB205" s="630"/>
      <c r="CC205" s="630"/>
      <c r="CD205" s="630"/>
      <c r="CE205" s="630"/>
      <c r="CF205" s="1851"/>
    </row>
    <row customHeight="1" ht="24.75" hidden="1">
      <c r="A206" s="1809"/>
      <c r="B206" s="1164"/>
      <c r="C206" s="416"/>
      <c r="D206" s="2596"/>
      <c r="E206" s="2393" t="s">
        <v>755</v>
      </c>
      <c r="F206" s="2393"/>
      <c r="G206" s="2393"/>
      <c r="H206" s="2393"/>
      <c r="I206" s="2393"/>
      <c r="J206" s="2393"/>
      <c r="K206" s="2393"/>
      <c r="L206" s="2393"/>
      <c r="M206" s="2393"/>
      <c r="N206" s="2393"/>
      <c r="O206" s="2393"/>
      <c r="P206" s="2393"/>
      <c r="Q206" s="562">
        <f>SUMIF(T207:T208,"i",Q207:Q208)</f>
        <v>0</v>
      </c>
      <c r="R206" s="1021"/>
      <c r="S206" s="1801" t="s">
        <v>756</v>
      </c>
      <c r="T206" s="721" t="s">
        <v>757</v>
      </c>
      <c r="U206" s="2391">
        <v>1</v>
      </c>
      <c r="V206" s="2391" t="str">
        <f>INDEX(B_FHD_FLAG_INDEX_1,1,MATCH(A203,B_FHD_FLAG_DIFFERENTIATION,0))</f>
        <v>отсутствует</v>
      </c>
      <c r="W206" s="1164"/>
      <c r="X206" s="1164"/>
      <c r="Y206" s="1164"/>
      <c r="Z206" s="1164"/>
      <c r="AA206" s="1640"/>
      <c r="AB206" s="1164"/>
      <c r="AC206" s="2392"/>
      <c r="AD206" s="633"/>
      <c r="AE206" s="1164"/>
      <c r="AF206" s="1164"/>
      <c r="AG206" s="1640"/>
      <c r="AH206" s="1640"/>
      <c r="AI206" s="1640"/>
      <c r="AJ206" s="1640"/>
      <c r="AK206" s="1640"/>
      <c r="AL206" s="1640"/>
      <c r="AM206" s="1640"/>
      <c r="AN206" s="1640"/>
      <c r="AO206" s="1640"/>
      <c r="AP206" s="1640"/>
      <c r="AQ206" s="1640"/>
      <c r="AR206" s="1640"/>
      <c r="AS206" s="1640"/>
      <c r="AT206" s="1640"/>
      <c r="AU206" s="1640"/>
      <c r="AV206" s="1640"/>
      <c r="AW206" s="1640"/>
      <c r="AX206" s="1640"/>
      <c r="AY206" s="1640"/>
      <c r="AZ206" s="1640"/>
      <c r="BA206" s="1640"/>
      <c r="BB206" s="1640"/>
      <c r="BC206" s="1640"/>
      <c r="BD206" s="1640"/>
      <c r="BE206" s="1640"/>
      <c r="BF206" s="1640"/>
      <c r="BG206" s="1640"/>
      <c r="BH206" s="1640"/>
      <c r="BI206" s="1640"/>
      <c r="BJ206" s="1640"/>
      <c r="BK206" s="1640"/>
      <c r="BL206" s="1640"/>
      <c r="BM206" s="1640"/>
      <c r="BN206" s="1640"/>
      <c r="BO206" s="1640"/>
      <c r="BP206" s="1640"/>
      <c r="BQ206" s="1640"/>
      <c r="BR206" s="1640"/>
      <c r="BS206" s="1640"/>
      <c r="BT206" s="1640"/>
      <c r="BU206" s="1640"/>
      <c r="BV206" s="1164"/>
      <c r="BW206" s="1164"/>
      <c r="BX206" s="1164"/>
      <c r="BY206" s="1164"/>
      <c r="BZ206" s="1164"/>
      <c r="CA206" s="1164"/>
      <c r="CB206" s="1164"/>
      <c r="CC206" s="1164"/>
      <c r="CD206" s="1164"/>
      <c r="CE206" s="1164"/>
      <c r="CF206" s="1851"/>
    </row>
    <row customHeight="1" ht="11.25" hidden="1">
      <c r="A207" s="1796"/>
      <c r="B207" s="1640"/>
      <c r="C207" s="1640"/>
      <c r="D207" s="2596"/>
      <c r="E207" s="639"/>
      <c r="F207" s="639">
        <v>0</v>
      </c>
      <c r="G207" s="639"/>
      <c r="H207" s="639"/>
      <c r="I207" s="639"/>
      <c r="J207" s="639"/>
      <c r="K207" s="639"/>
      <c r="L207" s="639"/>
      <c r="M207" s="639"/>
      <c r="N207" s="639"/>
      <c r="O207" s="639"/>
      <c r="P207" s="639"/>
      <c r="Q207" s="639"/>
      <c r="R207" s="639"/>
      <c r="S207" s="640"/>
      <c r="T207" s="722"/>
      <c r="U207" s="2391"/>
      <c r="V207" s="2391"/>
      <c r="W207" s="1640"/>
      <c r="X207" s="1640"/>
      <c r="Y207" s="1640"/>
      <c r="Z207" s="1640"/>
      <c r="AA207" s="1640"/>
      <c r="AB207" s="1164"/>
      <c r="AC207" s="2392"/>
      <c r="AD207" s="633"/>
      <c r="AE207" s="1164"/>
      <c r="AF207" s="1164"/>
      <c r="AG207" s="1640"/>
      <c r="AH207" s="1640"/>
      <c r="AI207" s="1640"/>
      <c r="AJ207" s="1640"/>
      <c r="AK207" s="1640"/>
      <c r="AL207" s="1640"/>
      <c r="AM207" s="1640"/>
      <c r="AN207" s="1640"/>
      <c r="AO207" s="1640"/>
      <c r="AP207" s="1640"/>
      <c r="AQ207" s="1640"/>
      <c r="AR207" s="1640"/>
      <c r="AS207" s="1640"/>
      <c r="AT207" s="1640"/>
      <c r="AU207" s="1640"/>
      <c r="AV207" s="1640"/>
      <c r="AW207" s="1640"/>
      <c r="AX207" s="1640"/>
      <c r="AY207" s="1640"/>
      <c r="AZ207" s="1640"/>
      <c r="BA207" s="1640"/>
      <c r="BB207" s="1640"/>
      <c r="BC207" s="1640"/>
      <c r="BD207" s="1640"/>
      <c r="BE207" s="1640"/>
      <c r="BF207" s="1640"/>
      <c r="BG207" s="1640"/>
      <c r="BH207" s="1640"/>
      <c r="BI207" s="1640"/>
      <c r="BJ207" s="1640"/>
      <c r="BK207" s="1640"/>
      <c r="BL207" s="1640"/>
      <c r="BM207" s="1640"/>
      <c r="BN207" s="1640"/>
      <c r="BO207" s="1640"/>
      <c r="BP207" s="1640"/>
      <c r="BQ207" s="1640"/>
      <c r="BR207" s="1640"/>
      <c r="BS207" s="1640"/>
      <c r="BT207" s="1640"/>
      <c r="BU207" s="1640"/>
      <c r="BV207" s="1640"/>
      <c r="BW207" s="1640"/>
      <c r="BX207" s="1640"/>
      <c r="BY207" s="1640"/>
      <c r="BZ207" s="1640"/>
      <c r="CA207" s="1640"/>
      <c r="CB207" s="1640"/>
      <c r="CC207" s="1640"/>
      <c r="CD207" s="1640"/>
      <c r="CE207" s="1640"/>
      <c r="CF207" s="1851"/>
    </row>
    <row customHeight="1" ht="11.25" hidden="1">
      <c r="A208" s="1809"/>
      <c r="B208" s="1164"/>
      <c r="C208" s="416"/>
      <c r="D208" s="2596"/>
      <c r="E208" s="653" t="s">
        <v>22</v>
      </c>
      <c r="F208" s="1172" t="s">
        <v>22</v>
      </c>
      <c r="G208" s="1172" t="s">
        <v>760</v>
      </c>
      <c r="H208" s="655" t="s">
        <v>22</v>
      </c>
      <c r="I208" s="655"/>
      <c r="J208" s="655"/>
      <c r="K208" s="655"/>
      <c r="L208" s="655"/>
      <c r="M208" s="655"/>
      <c r="N208" s="655"/>
      <c r="O208" s="655"/>
      <c r="P208" s="655"/>
      <c r="Q208" s="655"/>
      <c r="R208" s="656"/>
      <c r="S208" s="657"/>
      <c r="T208" s="722"/>
      <c r="U208" s="2391"/>
      <c r="V208" s="2391"/>
      <c r="W208" s="1164"/>
      <c r="X208" s="1164"/>
      <c r="Y208" s="1164"/>
      <c r="Z208" s="1164"/>
      <c r="AA208" s="1640"/>
      <c r="AB208" s="1164"/>
      <c r="AC208" s="2392"/>
      <c r="AD208" s="633"/>
      <c r="AE208" s="1164"/>
      <c r="AF208" s="1164"/>
      <c r="AG208" s="1640"/>
      <c r="AH208" s="1640"/>
      <c r="AI208" s="1640"/>
      <c r="AJ208" s="1640"/>
      <c r="AK208" s="1640"/>
      <c r="AL208" s="1640"/>
      <c r="AM208" s="1640"/>
      <c r="AN208" s="1640"/>
      <c r="AO208" s="1640"/>
      <c r="AP208" s="1640"/>
      <c r="AQ208" s="1640"/>
      <c r="AR208" s="1640"/>
      <c r="AS208" s="1640"/>
      <c r="AT208" s="1640"/>
      <c r="AU208" s="1640"/>
      <c r="AV208" s="1640"/>
      <c r="AW208" s="1640"/>
      <c r="AX208" s="1640"/>
      <c r="AY208" s="1640"/>
      <c r="AZ208" s="1640"/>
      <c r="BA208" s="1640"/>
      <c r="BB208" s="1640"/>
      <c r="BC208" s="1640"/>
      <c r="BD208" s="1640"/>
      <c r="BE208" s="1640"/>
      <c r="BF208" s="1640"/>
      <c r="BG208" s="1640"/>
      <c r="BH208" s="1640"/>
      <c r="BI208" s="1640"/>
      <c r="BJ208" s="1640"/>
      <c r="BK208" s="1640"/>
      <c r="BL208" s="1640"/>
      <c r="BM208" s="1640"/>
      <c r="BN208" s="1640"/>
      <c r="BO208" s="1640"/>
      <c r="BP208" s="1640"/>
      <c r="BQ208" s="1640"/>
      <c r="BR208" s="1640"/>
      <c r="BS208" s="1640"/>
      <c r="BT208" s="1640"/>
      <c r="BU208" s="1640"/>
      <c r="BV208" s="1164"/>
      <c r="BW208" s="1164"/>
      <c r="BX208" s="1164"/>
      <c r="BY208" s="1164"/>
      <c r="BZ208" s="1164"/>
      <c r="CA208" s="1164"/>
      <c r="CB208" s="1164"/>
      <c r="CC208" s="1164"/>
      <c r="CD208" s="1164"/>
      <c r="CE208" s="1164"/>
      <c r="CF208" s="1851"/>
    </row>
    <row customHeight="1" ht="24.75" hidden="1">
      <c r="A209" s="1809"/>
      <c r="B209" s="1164"/>
      <c r="C209" s="416"/>
      <c r="D209" s="2596"/>
      <c r="E209" s="2393" t="s">
        <v>758</v>
      </c>
      <c r="F209" s="2393"/>
      <c r="G209" s="2393"/>
      <c r="H209" s="2393"/>
      <c r="I209" s="2393"/>
      <c r="J209" s="2393"/>
      <c r="K209" s="2393"/>
      <c r="L209" s="2393"/>
      <c r="M209" s="2393"/>
      <c r="N209" s="2393"/>
      <c r="O209" s="2393"/>
      <c r="P209" s="2393"/>
      <c r="Q209" s="562">
        <f>SUMIF(T210:T211,"i",Q210:Q211)</f>
        <v>0</v>
      </c>
      <c r="R209" s="1021"/>
      <c r="S209" s="1801" t="s">
        <v>759</v>
      </c>
      <c r="T209" s="721" t="s">
        <v>757</v>
      </c>
      <c r="U209" s="2391">
        <v>1</v>
      </c>
      <c r="V209" s="2391" t="str">
        <f>INDEX(B_FHD_FLAG_INDEX_2,1,MATCH(A203,B_FHD_FLAG_DIFFERENTIATION,0))</f>
        <v>отсутствует</v>
      </c>
      <c r="W209" s="1164"/>
      <c r="X209" s="1164"/>
      <c r="Y209" s="1164"/>
      <c r="Z209" s="1164"/>
      <c r="AA209" s="1640"/>
      <c r="AB209" s="1164"/>
      <c r="AC209" s="1799"/>
      <c r="AD209" s="633"/>
      <c r="AE209" s="1164"/>
      <c r="AF209" s="1164"/>
      <c r="AG209" s="1640"/>
      <c r="AH209" s="1640"/>
      <c r="AI209" s="1640"/>
      <c r="AJ209" s="1640"/>
      <c r="AK209" s="1640"/>
      <c r="AL209" s="1640"/>
      <c r="AM209" s="1640"/>
      <c r="AN209" s="1640"/>
      <c r="AO209" s="1640"/>
      <c r="AP209" s="1640"/>
      <c r="AQ209" s="1640"/>
      <c r="AR209" s="1640"/>
      <c r="AS209" s="1640"/>
      <c r="AT209" s="1640"/>
      <c r="AU209" s="1640"/>
      <c r="AV209" s="1640"/>
      <c r="AW209" s="1640"/>
      <c r="AX209" s="1640"/>
      <c r="AY209" s="1640"/>
      <c r="AZ209" s="1640"/>
      <c r="BA209" s="1640"/>
      <c r="BB209" s="1640"/>
      <c r="BC209" s="1640"/>
      <c r="BD209" s="1640"/>
      <c r="BE209" s="1640"/>
      <c r="BF209" s="1640"/>
      <c r="BG209" s="1640"/>
      <c r="BH209" s="1640"/>
      <c r="BI209" s="1640"/>
      <c r="BJ209" s="1640"/>
      <c r="BK209" s="1640"/>
      <c r="BL209" s="1640"/>
      <c r="BM209" s="1640"/>
      <c r="BN209" s="1640"/>
      <c r="BO209" s="1640"/>
      <c r="BP209" s="1640"/>
      <c r="BQ209" s="1640"/>
      <c r="BR209" s="1640"/>
      <c r="BS209" s="1640"/>
      <c r="BT209" s="1640"/>
      <c r="BU209" s="1640"/>
      <c r="BV209" s="1164"/>
      <c r="BW209" s="1164"/>
      <c r="BX209" s="1164"/>
      <c r="BY209" s="1164"/>
      <c r="BZ209" s="1164"/>
      <c r="CA209" s="1164"/>
      <c r="CB209" s="1164"/>
      <c r="CC209" s="1164"/>
      <c r="CD209" s="1164"/>
      <c r="CE209" s="1164"/>
      <c r="CF209" s="1851"/>
    </row>
    <row customHeight="1" ht="11.25" hidden="1">
      <c r="A210" s="1796"/>
      <c r="B210" s="1640"/>
      <c r="C210" s="1640"/>
      <c r="D210" s="2596"/>
      <c r="E210" s="639"/>
      <c r="F210" s="639">
        <v>0</v>
      </c>
      <c r="G210" s="639"/>
      <c r="H210" s="639"/>
      <c r="I210" s="639"/>
      <c r="J210" s="639"/>
      <c r="K210" s="639"/>
      <c r="L210" s="639"/>
      <c r="M210" s="639"/>
      <c r="N210" s="639"/>
      <c r="O210" s="639"/>
      <c r="P210" s="639"/>
      <c r="Q210" s="639"/>
      <c r="R210" s="639"/>
      <c r="S210" s="640"/>
      <c r="T210" s="722"/>
      <c r="U210" s="2391"/>
      <c r="V210" s="2391"/>
      <c r="W210" s="1640"/>
      <c r="X210" s="1640"/>
      <c r="Y210" s="1640"/>
      <c r="Z210" s="1640"/>
      <c r="AA210" s="1640"/>
      <c r="AB210" s="1164"/>
      <c r="AC210" s="1799"/>
      <c r="AD210" s="633"/>
      <c r="AE210" s="1164"/>
      <c r="AF210" s="1164"/>
      <c r="AG210" s="1640"/>
      <c r="AH210" s="1640"/>
      <c r="AI210" s="1640"/>
      <c r="AJ210" s="1640"/>
      <c r="AK210" s="1640"/>
      <c r="AL210" s="1640"/>
      <c r="AM210" s="1640"/>
      <c r="AN210" s="1640"/>
      <c r="AO210" s="1640"/>
      <c r="AP210" s="1640"/>
      <c r="AQ210" s="1640"/>
      <c r="AR210" s="1640"/>
      <c r="AS210" s="1640"/>
      <c r="AT210" s="1640"/>
      <c r="AU210" s="1640"/>
      <c r="AV210" s="1640"/>
      <c r="AW210" s="1640"/>
      <c r="AX210" s="1640"/>
      <c r="AY210" s="1640"/>
      <c r="AZ210" s="1640"/>
      <c r="BA210" s="1640"/>
      <c r="BB210" s="1640"/>
      <c r="BC210" s="1640"/>
      <c r="BD210" s="1640"/>
      <c r="BE210" s="1640"/>
      <c r="BF210" s="1640"/>
      <c r="BG210" s="1640"/>
      <c r="BH210" s="1640"/>
      <c r="BI210" s="1640"/>
      <c r="BJ210" s="1640"/>
      <c r="BK210" s="1640"/>
      <c r="BL210" s="1640"/>
      <c r="BM210" s="1640"/>
      <c r="BN210" s="1640"/>
      <c r="BO210" s="1640"/>
      <c r="BP210" s="1640"/>
      <c r="BQ210" s="1640"/>
      <c r="BR210" s="1640"/>
      <c r="BS210" s="1640"/>
      <c r="BT210" s="1640"/>
      <c r="BU210" s="1640"/>
      <c r="BV210" s="1640"/>
      <c r="BW210" s="1640"/>
      <c r="BX210" s="1640"/>
      <c r="BY210" s="1640"/>
      <c r="BZ210" s="1640"/>
      <c r="CA210" s="1640"/>
      <c r="CB210" s="1640"/>
      <c r="CC210" s="1640"/>
      <c r="CD210" s="1640"/>
      <c r="CE210" s="1640"/>
      <c r="CF210" s="1851"/>
    </row>
    <row customHeight="1" ht="11.25" hidden="1">
      <c r="A211" s="1809"/>
      <c r="B211" s="1164"/>
      <c r="C211" s="416"/>
      <c r="D211" s="2597"/>
      <c r="E211" s="653" t="s">
        <v>22</v>
      </c>
      <c r="F211" s="1172" t="s">
        <v>22</v>
      </c>
      <c r="G211" s="1172" t="s">
        <v>760</v>
      </c>
      <c r="H211" s="655" t="s">
        <v>22</v>
      </c>
      <c r="I211" s="655"/>
      <c r="J211" s="655"/>
      <c r="K211" s="655"/>
      <c r="L211" s="655"/>
      <c r="M211" s="655"/>
      <c r="N211" s="655"/>
      <c r="O211" s="655"/>
      <c r="P211" s="655"/>
      <c r="Q211" s="655"/>
      <c r="R211" s="656"/>
      <c r="S211" s="657"/>
      <c r="T211" s="722"/>
      <c r="U211" s="2391"/>
      <c r="V211" s="2391"/>
      <c r="W211" s="1164"/>
      <c r="X211" s="1164"/>
      <c r="Y211" s="1164"/>
      <c r="Z211" s="1164"/>
      <c r="AA211" s="1640"/>
      <c r="AB211" s="1164"/>
      <c r="AC211" s="1799"/>
      <c r="AD211" s="633"/>
      <c r="AE211" s="1164"/>
      <c r="AF211" s="1164"/>
      <c r="AG211" s="1640"/>
      <c r="AH211" s="1640"/>
      <c r="AI211" s="1640"/>
      <c r="AJ211" s="1640"/>
      <c r="AK211" s="1640"/>
      <c r="AL211" s="1640"/>
      <c r="AM211" s="1640"/>
      <c r="AN211" s="1640"/>
      <c r="AO211" s="1640"/>
      <c r="AP211" s="1640"/>
      <c r="AQ211" s="1640"/>
      <c r="AR211" s="1640"/>
      <c r="AS211" s="1640"/>
      <c r="AT211" s="1640"/>
      <c r="AU211" s="1640"/>
      <c r="AV211" s="1640"/>
      <c r="AW211" s="1640"/>
      <c r="AX211" s="1640"/>
      <c r="AY211" s="1640"/>
      <c r="AZ211" s="1640"/>
      <c r="BA211" s="1640"/>
      <c r="BB211" s="1640"/>
      <c r="BC211" s="1640"/>
      <c r="BD211" s="1640"/>
      <c r="BE211" s="1640"/>
      <c r="BF211" s="1640"/>
      <c r="BG211" s="1640"/>
      <c r="BH211" s="1640"/>
      <c r="BI211" s="1640"/>
      <c r="BJ211" s="1640"/>
      <c r="BK211" s="1640"/>
      <c r="BL211" s="1640"/>
      <c r="BM211" s="1640"/>
      <c r="BN211" s="1640"/>
      <c r="BO211" s="1640"/>
      <c r="BP211" s="1640"/>
      <c r="BQ211" s="1640"/>
      <c r="BR211" s="1640"/>
      <c r="BS211" s="1640"/>
      <c r="BT211" s="1640"/>
      <c r="BU211" s="1640"/>
      <c r="BV211" s="1164"/>
      <c r="BW211" s="1164"/>
      <c r="BX211" s="1164"/>
      <c r="BY211" s="1164"/>
      <c r="BZ211" s="1164"/>
      <c r="CA211" s="1164"/>
      <c r="CB211" s="1164"/>
      <c r="CC211" s="1164"/>
      <c r="CD211" s="1164"/>
      <c r="CE211" s="1164"/>
      <c r="CF211" s="1851"/>
    </row>
    <row customHeight="1" ht="15" hidden="1">
      <c r="A212" s="627" t="s">
        <v>205</v>
      </c>
      <c r="B212" s="628"/>
      <c r="C212" s="628" t="s">
        <v>22</v>
      </c>
      <c r="D212" s="2595" t="s">
        <v>781</v>
      </c>
      <c r="E212" s="2394" t="s">
        <v>173</v>
      </c>
      <c r="F212" s="2395"/>
      <c r="G212" s="2396"/>
      <c r="H212" s="2400" t="str">
        <f>IF(A212="","",INDEX(DIFFERENTIATION_UNMERGE_VD,MATCH(A212,DIFFERENTIATION_ID_DIFF,0)))</f>
        <v>Холодное водоснабжение. Питьевая вода</v>
      </c>
      <c r="I212" s="2400"/>
      <c r="J212" s="2400"/>
      <c r="K212" s="2400"/>
      <c r="L212" s="2400"/>
      <c r="M212" s="2400"/>
      <c r="N212" s="2400"/>
      <c r="O212" s="2400"/>
      <c r="P212" s="2400"/>
      <c r="Q212" s="2400"/>
      <c r="R212" s="2400"/>
      <c r="S212" s="723"/>
      <c r="T212" s="720"/>
      <c r="U212" s="629"/>
      <c r="V212" s="629"/>
      <c r="W212" s="630"/>
      <c r="X212" s="630"/>
      <c r="Y212" s="630"/>
      <c r="Z212" s="630"/>
      <c r="AA212" s="631"/>
      <c r="AB212" s="632"/>
      <c r="AC212" s="2392"/>
      <c r="AD212" s="633"/>
      <c r="AE212" s="634" t="s">
        <v>22</v>
      </c>
      <c r="AF212" s="634"/>
      <c r="AG212" s="635" t="s">
        <v>754</v>
      </c>
      <c r="AH212" s="636">
        <v>3</v>
      </c>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30"/>
      <c r="BW212" s="630"/>
      <c r="BX212" s="630"/>
      <c r="BY212" s="630"/>
      <c r="BZ212" s="630"/>
      <c r="CA212" s="630"/>
      <c r="CB212" s="630"/>
      <c r="CC212" s="630"/>
      <c r="CD212" s="630"/>
      <c r="CE212" s="630"/>
      <c r="CF212" s="1851"/>
    </row>
    <row customHeight="1" ht="15" hidden="1">
      <c r="A213" s="627"/>
      <c r="B213" s="628"/>
      <c r="C213" s="628"/>
      <c r="D213" s="2596"/>
      <c r="E213" s="2394" t="s">
        <v>702</v>
      </c>
      <c r="F213" s="2395"/>
      <c r="G213" s="2396"/>
      <c r="H213" s="2400" t="str">
        <f>IF(A212="","",INDEX(DIFFERENTIATION_UNMERGE_AREA,MATCH(A212,DIFFERENTIATION_ID_DIFF,0)))</f>
        <v>Территория 3</v>
      </c>
      <c r="I213" s="2400"/>
      <c r="J213" s="2400"/>
      <c r="K213" s="2400"/>
      <c r="L213" s="2400"/>
      <c r="M213" s="2400"/>
      <c r="N213" s="2400"/>
      <c r="O213" s="2400"/>
      <c r="P213" s="2400"/>
      <c r="Q213" s="2400"/>
      <c r="R213" s="2400"/>
      <c r="S213" s="723"/>
      <c r="T213" s="720"/>
      <c r="U213" s="629"/>
      <c r="V213" s="629"/>
      <c r="W213" s="630"/>
      <c r="X213" s="630"/>
      <c r="Y213" s="630"/>
      <c r="Z213" s="630"/>
      <c r="AA213" s="631"/>
      <c r="AB213" s="632"/>
      <c r="AC213" s="2392"/>
      <c r="AD213" s="633"/>
      <c r="AE213" s="634"/>
      <c r="AF213" s="634"/>
      <c r="AG213" s="635"/>
      <c r="AH213" s="636"/>
      <c r="AI213" s="629"/>
      <c r="AJ213" s="629"/>
      <c r="AK213" s="629"/>
      <c r="AL213" s="629"/>
      <c r="AM213" s="629"/>
      <c r="AN213" s="629"/>
      <c r="AO213" s="629"/>
      <c r="AP213" s="629"/>
      <c r="AQ213" s="629"/>
      <c r="AR213" s="629"/>
      <c r="AS213" s="629"/>
      <c r="AT213" s="629"/>
      <c r="AU213" s="629"/>
      <c r="AV213" s="629"/>
      <c r="AW213" s="629"/>
      <c r="AX213" s="629"/>
      <c r="AY213" s="629"/>
      <c r="AZ213" s="629"/>
      <c r="BA213" s="629"/>
      <c r="BB213" s="629"/>
      <c r="BC213" s="629"/>
      <c r="BD213" s="629"/>
      <c r="BE213" s="629"/>
      <c r="BF213" s="629"/>
      <c r="BG213" s="629"/>
      <c r="BH213" s="629"/>
      <c r="BI213" s="629"/>
      <c r="BJ213" s="629"/>
      <c r="BK213" s="629"/>
      <c r="BL213" s="629"/>
      <c r="BM213" s="629"/>
      <c r="BN213" s="629"/>
      <c r="BO213" s="629"/>
      <c r="BP213" s="629"/>
      <c r="BQ213" s="629"/>
      <c r="BR213" s="629"/>
      <c r="BS213" s="629"/>
      <c r="BT213" s="629"/>
      <c r="BU213" s="629"/>
      <c r="BV213" s="630"/>
      <c r="BW213" s="630"/>
      <c r="BX213" s="630"/>
      <c r="BY213" s="630"/>
      <c r="BZ213" s="630"/>
      <c r="CA213" s="630"/>
      <c r="CB213" s="630"/>
      <c r="CC213" s="630"/>
      <c r="CD213" s="630"/>
      <c r="CE213" s="630"/>
      <c r="CF213" s="1851"/>
    </row>
    <row customHeight="1" ht="15" hidden="1">
      <c r="A214" s="627"/>
      <c r="B214" s="628"/>
      <c r="C214" s="628"/>
      <c r="D214" s="2596"/>
      <c r="E214" s="2394" t="s">
        <v>703</v>
      </c>
      <c r="F214" s="2395"/>
      <c r="G214" s="2396"/>
      <c r="H214" s="2400" t="str">
        <f>IF(A212="","",INDEX(DIFFERENTIATION_UNMERGE_SYSTEM,MATCH(A212,DIFFERENTIATION_ID_DIFF,0)))</f>
        <v>Централизованная система водоснабжения Штыковского сельского поселения</v>
      </c>
      <c r="I214" s="2400"/>
      <c r="J214" s="2400"/>
      <c r="K214" s="2400"/>
      <c r="L214" s="2400"/>
      <c r="M214" s="2400"/>
      <c r="N214" s="2400"/>
      <c r="O214" s="2400"/>
      <c r="P214" s="2400"/>
      <c r="Q214" s="2400"/>
      <c r="R214" s="2400"/>
      <c r="S214" s="723"/>
      <c r="T214" s="720"/>
      <c r="U214" s="629"/>
      <c r="V214" s="629"/>
      <c r="W214" s="630"/>
      <c r="X214" s="630"/>
      <c r="Y214" s="630"/>
      <c r="Z214" s="630"/>
      <c r="AA214" s="631"/>
      <c r="AB214" s="632"/>
      <c r="AC214" s="2392"/>
      <c r="AD214" s="633"/>
      <c r="AE214" s="634"/>
      <c r="AF214" s="634"/>
      <c r="AG214" s="635"/>
      <c r="AH214" s="636"/>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29"/>
      <c r="BO214" s="629"/>
      <c r="BP214" s="629"/>
      <c r="BQ214" s="629"/>
      <c r="BR214" s="629"/>
      <c r="BS214" s="629"/>
      <c r="BT214" s="629"/>
      <c r="BU214" s="629"/>
      <c r="BV214" s="630"/>
      <c r="BW214" s="630"/>
      <c r="BX214" s="630"/>
      <c r="BY214" s="630"/>
      <c r="BZ214" s="630"/>
      <c r="CA214" s="630"/>
      <c r="CB214" s="630"/>
      <c r="CC214" s="630"/>
      <c r="CD214" s="630"/>
      <c r="CE214" s="630"/>
      <c r="CF214" s="1851"/>
    </row>
    <row customHeight="1" ht="24.75" hidden="1">
      <c r="A215" s="1809"/>
      <c r="B215" s="1164"/>
      <c r="C215" s="416"/>
      <c r="D215" s="2596"/>
      <c r="E215" s="2393" t="s">
        <v>755</v>
      </c>
      <c r="F215" s="2393"/>
      <c r="G215" s="2393"/>
      <c r="H215" s="2393"/>
      <c r="I215" s="2393"/>
      <c r="J215" s="2393"/>
      <c r="K215" s="2393"/>
      <c r="L215" s="2393"/>
      <c r="M215" s="2393"/>
      <c r="N215" s="2393"/>
      <c r="O215" s="2393"/>
      <c r="P215" s="2393"/>
      <c r="Q215" s="562">
        <f>SUMIF(T216:T217,"i",Q216:Q217)</f>
        <v>0</v>
      </c>
      <c r="R215" s="1021"/>
      <c r="S215" s="1801" t="s">
        <v>756</v>
      </c>
      <c r="T215" s="721" t="s">
        <v>757</v>
      </c>
      <c r="U215" s="2391">
        <v>1</v>
      </c>
      <c r="V215" s="2391" t="str">
        <f>INDEX(B_FHD_FLAG_INDEX_1,1,MATCH(A212,B_FHD_FLAG_DIFFERENTIATION,0))</f>
        <v>отсутствует</v>
      </c>
      <c r="W215" s="1164"/>
      <c r="X215" s="1164"/>
      <c r="Y215" s="1164"/>
      <c r="Z215" s="1164"/>
      <c r="AA215" s="1640"/>
      <c r="AB215" s="1164"/>
      <c r="AC215" s="2392"/>
      <c r="AD215" s="633"/>
      <c r="AE215" s="1164"/>
      <c r="AF215" s="1164"/>
      <c r="AG215" s="1640"/>
      <c r="AH215" s="1640"/>
      <c r="AI215" s="1640"/>
      <c r="AJ215" s="1640"/>
      <c r="AK215" s="1640"/>
      <c r="AL215" s="1640"/>
      <c r="AM215" s="1640"/>
      <c r="AN215" s="1640"/>
      <c r="AO215" s="1640"/>
      <c r="AP215" s="1640"/>
      <c r="AQ215" s="1640"/>
      <c r="AR215" s="1640"/>
      <c r="AS215" s="1640"/>
      <c r="AT215" s="1640"/>
      <c r="AU215" s="1640"/>
      <c r="AV215" s="1640"/>
      <c r="AW215" s="1640"/>
      <c r="AX215" s="1640"/>
      <c r="AY215" s="1640"/>
      <c r="AZ215" s="1640"/>
      <c r="BA215" s="1640"/>
      <c r="BB215" s="1640"/>
      <c r="BC215" s="1640"/>
      <c r="BD215" s="1640"/>
      <c r="BE215" s="1640"/>
      <c r="BF215" s="1640"/>
      <c r="BG215" s="1640"/>
      <c r="BH215" s="1640"/>
      <c r="BI215" s="1640"/>
      <c r="BJ215" s="1640"/>
      <c r="BK215" s="1640"/>
      <c r="BL215" s="1640"/>
      <c r="BM215" s="1640"/>
      <c r="BN215" s="1640"/>
      <c r="BO215" s="1640"/>
      <c r="BP215" s="1640"/>
      <c r="BQ215" s="1640"/>
      <c r="BR215" s="1640"/>
      <c r="BS215" s="1640"/>
      <c r="BT215" s="1640"/>
      <c r="BU215" s="1640"/>
      <c r="BV215" s="1164"/>
      <c r="BW215" s="1164"/>
      <c r="BX215" s="1164"/>
      <c r="BY215" s="1164"/>
      <c r="BZ215" s="1164"/>
      <c r="CA215" s="1164"/>
      <c r="CB215" s="1164"/>
      <c r="CC215" s="1164"/>
      <c r="CD215" s="1164"/>
      <c r="CE215" s="1164"/>
      <c r="CF215" s="1851"/>
    </row>
    <row customHeight="1" ht="11.25" hidden="1">
      <c r="A216" s="1796"/>
      <c r="B216" s="1640"/>
      <c r="C216" s="1640"/>
      <c r="D216" s="2596"/>
      <c r="E216" s="639"/>
      <c r="F216" s="639">
        <v>0</v>
      </c>
      <c r="G216" s="639"/>
      <c r="H216" s="639"/>
      <c r="I216" s="639"/>
      <c r="J216" s="639"/>
      <c r="K216" s="639"/>
      <c r="L216" s="639"/>
      <c r="M216" s="639"/>
      <c r="N216" s="639"/>
      <c r="O216" s="639"/>
      <c r="P216" s="639"/>
      <c r="Q216" s="639"/>
      <c r="R216" s="639"/>
      <c r="S216" s="640"/>
      <c r="T216" s="722"/>
      <c r="U216" s="2391"/>
      <c r="V216" s="2391"/>
      <c r="W216" s="1640"/>
      <c r="X216" s="1640"/>
      <c r="Y216" s="1640"/>
      <c r="Z216" s="1640"/>
      <c r="AA216" s="1640"/>
      <c r="AB216" s="1164"/>
      <c r="AC216" s="2392"/>
      <c r="AD216" s="633"/>
      <c r="AE216" s="1164"/>
      <c r="AF216" s="1164"/>
      <c r="AG216" s="1640"/>
      <c r="AH216" s="1640"/>
      <c r="AI216" s="1640"/>
      <c r="AJ216" s="1640"/>
      <c r="AK216" s="1640"/>
      <c r="AL216" s="1640"/>
      <c r="AM216" s="1640"/>
      <c r="AN216" s="1640"/>
      <c r="AO216" s="1640"/>
      <c r="AP216" s="1640"/>
      <c r="AQ216" s="1640"/>
      <c r="AR216" s="1640"/>
      <c r="AS216" s="1640"/>
      <c r="AT216" s="1640"/>
      <c r="AU216" s="1640"/>
      <c r="AV216" s="1640"/>
      <c r="AW216" s="1640"/>
      <c r="AX216" s="1640"/>
      <c r="AY216" s="1640"/>
      <c r="AZ216" s="1640"/>
      <c r="BA216" s="1640"/>
      <c r="BB216" s="1640"/>
      <c r="BC216" s="1640"/>
      <c r="BD216" s="1640"/>
      <c r="BE216" s="1640"/>
      <c r="BF216" s="1640"/>
      <c r="BG216" s="1640"/>
      <c r="BH216" s="1640"/>
      <c r="BI216" s="1640"/>
      <c r="BJ216" s="1640"/>
      <c r="BK216" s="1640"/>
      <c r="BL216" s="1640"/>
      <c r="BM216" s="1640"/>
      <c r="BN216" s="1640"/>
      <c r="BO216" s="1640"/>
      <c r="BP216" s="1640"/>
      <c r="BQ216" s="1640"/>
      <c r="BR216" s="1640"/>
      <c r="BS216" s="1640"/>
      <c r="BT216" s="1640"/>
      <c r="BU216" s="1640"/>
      <c r="BV216" s="1640"/>
      <c r="BW216" s="1640"/>
      <c r="BX216" s="1640"/>
      <c r="BY216" s="1640"/>
      <c r="BZ216" s="1640"/>
      <c r="CA216" s="1640"/>
      <c r="CB216" s="1640"/>
      <c r="CC216" s="1640"/>
      <c r="CD216" s="1640"/>
      <c r="CE216" s="1640"/>
      <c r="CF216" s="1851"/>
    </row>
    <row customHeight="1" ht="11.25" hidden="1">
      <c r="A217" s="1809"/>
      <c r="B217" s="1164"/>
      <c r="C217" s="416"/>
      <c r="D217" s="2596"/>
      <c r="E217" s="653" t="s">
        <v>22</v>
      </c>
      <c r="F217" s="1172" t="s">
        <v>22</v>
      </c>
      <c r="G217" s="1172" t="s">
        <v>760</v>
      </c>
      <c r="H217" s="655" t="s">
        <v>22</v>
      </c>
      <c r="I217" s="655"/>
      <c r="J217" s="655"/>
      <c r="K217" s="655"/>
      <c r="L217" s="655"/>
      <c r="M217" s="655"/>
      <c r="N217" s="655"/>
      <c r="O217" s="655"/>
      <c r="P217" s="655"/>
      <c r="Q217" s="655"/>
      <c r="R217" s="656"/>
      <c r="S217" s="657"/>
      <c r="T217" s="722"/>
      <c r="U217" s="2391"/>
      <c r="V217" s="2391"/>
      <c r="W217" s="1164"/>
      <c r="X217" s="1164"/>
      <c r="Y217" s="1164"/>
      <c r="Z217" s="1164"/>
      <c r="AA217" s="1640"/>
      <c r="AB217" s="1164"/>
      <c r="AC217" s="2392"/>
      <c r="AD217" s="633"/>
      <c r="AE217" s="1164"/>
      <c r="AF217" s="1164"/>
      <c r="AG217" s="1640"/>
      <c r="AH217" s="1640"/>
      <c r="AI217" s="1640"/>
      <c r="AJ217" s="1640"/>
      <c r="AK217" s="1640"/>
      <c r="AL217" s="1640"/>
      <c r="AM217" s="1640"/>
      <c r="AN217" s="1640"/>
      <c r="AO217" s="1640"/>
      <c r="AP217" s="1640"/>
      <c r="AQ217" s="1640"/>
      <c r="AR217" s="1640"/>
      <c r="AS217" s="1640"/>
      <c r="AT217" s="1640"/>
      <c r="AU217" s="1640"/>
      <c r="AV217" s="1640"/>
      <c r="AW217" s="1640"/>
      <c r="AX217" s="1640"/>
      <c r="AY217" s="1640"/>
      <c r="AZ217" s="1640"/>
      <c r="BA217" s="1640"/>
      <c r="BB217" s="1640"/>
      <c r="BC217" s="1640"/>
      <c r="BD217" s="1640"/>
      <c r="BE217" s="1640"/>
      <c r="BF217" s="1640"/>
      <c r="BG217" s="1640"/>
      <c r="BH217" s="1640"/>
      <c r="BI217" s="1640"/>
      <c r="BJ217" s="1640"/>
      <c r="BK217" s="1640"/>
      <c r="BL217" s="1640"/>
      <c r="BM217" s="1640"/>
      <c r="BN217" s="1640"/>
      <c r="BO217" s="1640"/>
      <c r="BP217" s="1640"/>
      <c r="BQ217" s="1640"/>
      <c r="BR217" s="1640"/>
      <c r="BS217" s="1640"/>
      <c r="BT217" s="1640"/>
      <c r="BU217" s="1640"/>
      <c r="BV217" s="1164"/>
      <c r="BW217" s="1164"/>
      <c r="BX217" s="1164"/>
      <c r="BY217" s="1164"/>
      <c r="BZ217" s="1164"/>
      <c r="CA217" s="1164"/>
      <c r="CB217" s="1164"/>
      <c r="CC217" s="1164"/>
      <c r="CD217" s="1164"/>
      <c r="CE217" s="1164"/>
      <c r="CF217" s="1851"/>
    </row>
    <row customHeight="1" ht="24.75" hidden="1">
      <c r="A218" s="1809"/>
      <c r="B218" s="1164"/>
      <c r="C218" s="416"/>
      <c r="D218" s="2596"/>
      <c r="E218" s="2393" t="s">
        <v>758</v>
      </c>
      <c r="F218" s="2393"/>
      <c r="G218" s="2393"/>
      <c r="H218" s="2393"/>
      <c r="I218" s="2393"/>
      <c r="J218" s="2393"/>
      <c r="K218" s="2393"/>
      <c r="L218" s="2393"/>
      <c r="M218" s="2393"/>
      <c r="N218" s="2393"/>
      <c r="O218" s="2393"/>
      <c r="P218" s="2393"/>
      <c r="Q218" s="562">
        <f>SUMIF(T219:T220,"i",Q219:Q220)</f>
        <v>0</v>
      </c>
      <c r="R218" s="1021"/>
      <c r="S218" s="1801" t="s">
        <v>759</v>
      </c>
      <c r="T218" s="721" t="s">
        <v>757</v>
      </c>
      <c r="U218" s="2391">
        <v>1</v>
      </c>
      <c r="V218" s="2391" t="str">
        <f>INDEX(B_FHD_FLAG_INDEX_2,1,MATCH(A212,B_FHD_FLAG_DIFFERENTIATION,0))</f>
        <v>отсутствует</v>
      </c>
      <c r="W218" s="1164"/>
      <c r="X218" s="1164"/>
      <c r="Y218" s="1164"/>
      <c r="Z218" s="1164"/>
      <c r="AA218" s="1640"/>
      <c r="AB218" s="1164"/>
      <c r="AC218" s="1799"/>
      <c r="AD218" s="633"/>
      <c r="AE218" s="1164"/>
      <c r="AF218" s="1164"/>
      <c r="AG218" s="1640"/>
      <c r="AH218" s="1640"/>
      <c r="AI218" s="1640"/>
      <c r="AJ218" s="1640"/>
      <c r="AK218" s="1640"/>
      <c r="AL218" s="1640"/>
      <c r="AM218" s="1640"/>
      <c r="AN218" s="1640"/>
      <c r="AO218" s="1640"/>
      <c r="AP218" s="1640"/>
      <c r="AQ218" s="1640"/>
      <c r="AR218" s="1640"/>
      <c r="AS218" s="1640"/>
      <c r="AT218" s="1640"/>
      <c r="AU218" s="1640"/>
      <c r="AV218" s="1640"/>
      <c r="AW218" s="1640"/>
      <c r="AX218" s="1640"/>
      <c r="AY218" s="1640"/>
      <c r="AZ218" s="1640"/>
      <c r="BA218" s="1640"/>
      <c r="BB218" s="1640"/>
      <c r="BC218" s="1640"/>
      <c r="BD218" s="1640"/>
      <c r="BE218" s="1640"/>
      <c r="BF218" s="1640"/>
      <c r="BG218" s="1640"/>
      <c r="BH218" s="1640"/>
      <c r="BI218" s="1640"/>
      <c r="BJ218" s="1640"/>
      <c r="BK218" s="1640"/>
      <c r="BL218" s="1640"/>
      <c r="BM218" s="1640"/>
      <c r="BN218" s="1640"/>
      <c r="BO218" s="1640"/>
      <c r="BP218" s="1640"/>
      <c r="BQ218" s="1640"/>
      <c r="BR218" s="1640"/>
      <c r="BS218" s="1640"/>
      <c r="BT218" s="1640"/>
      <c r="BU218" s="1640"/>
      <c r="BV218" s="1164"/>
      <c r="BW218" s="1164"/>
      <c r="BX218" s="1164"/>
      <c r="BY218" s="1164"/>
      <c r="BZ218" s="1164"/>
      <c r="CA218" s="1164"/>
      <c r="CB218" s="1164"/>
      <c r="CC218" s="1164"/>
      <c r="CD218" s="1164"/>
      <c r="CE218" s="1164"/>
      <c r="CF218" s="1851"/>
    </row>
    <row customHeight="1" ht="11.25" hidden="1">
      <c r="A219" s="1796"/>
      <c r="B219" s="1640"/>
      <c r="C219" s="1640"/>
      <c r="D219" s="2596"/>
      <c r="E219" s="639"/>
      <c r="F219" s="639">
        <v>0</v>
      </c>
      <c r="G219" s="639"/>
      <c r="H219" s="639"/>
      <c r="I219" s="639"/>
      <c r="J219" s="639"/>
      <c r="K219" s="639"/>
      <c r="L219" s="639"/>
      <c r="M219" s="639"/>
      <c r="N219" s="639"/>
      <c r="O219" s="639"/>
      <c r="P219" s="639"/>
      <c r="Q219" s="639"/>
      <c r="R219" s="639"/>
      <c r="S219" s="640"/>
      <c r="T219" s="722"/>
      <c r="U219" s="2391"/>
      <c r="V219" s="2391"/>
      <c r="W219" s="1640"/>
      <c r="X219" s="1640"/>
      <c r="Y219" s="1640"/>
      <c r="Z219" s="1640"/>
      <c r="AA219" s="1640"/>
      <c r="AB219" s="1164"/>
      <c r="AC219" s="1799"/>
      <c r="AD219" s="633"/>
      <c r="AE219" s="1164"/>
      <c r="AF219" s="1164"/>
      <c r="AG219" s="1640"/>
      <c r="AH219" s="1640"/>
      <c r="AI219" s="1640"/>
      <c r="AJ219" s="1640"/>
      <c r="AK219" s="1640"/>
      <c r="AL219" s="1640"/>
      <c r="AM219" s="1640"/>
      <c r="AN219" s="1640"/>
      <c r="AO219" s="1640"/>
      <c r="AP219" s="1640"/>
      <c r="AQ219" s="1640"/>
      <c r="AR219" s="1640"/>
      <c r="AS219" s="1640"/>
      <c r="AT219" s="1640"/>
      <c r="AU219" s="1640"/>
      <c r="AV219" s="1640"/>
      <c r="AW219" s="1640"/>
      <c r="AX219" s="1640"/>
      <c r="AY219" s="1640"/>
      <c r="AZ219" s="1640"/>
      <c r="BA219" s="1640"/>
      <c r="BB219" s="1640"/>
      <c r="BC219" s="1640"/>
      <c r="BD219" s="1640"/>
      <c r="BE219" s="1640"/>
      <c r="BF219" s="1640"/>
      <c r="BG219" s="1640"/>
      <c r="BH219" s="1640"/>
      <c r="BI219" s="1640"/>
      <c r="BJ219" s="1640"/>
      <c r="BK219" s="1640"/>
      <c r="BL219" s="1640"/>
      <c r="BM219" s="1640"/>
      <c r="BN219" s="1640"/>
      <c r="BO219" s="1640"/>
      <c r="BP219" s="1640"/>
      <c r="BQ219" s="1640"/>
      <c r="BR219" s="1640"/>
      <c r="BS219" s="1640"/>
      <c r="BT219" s="1640"/>
      <c r="BU219" s="1640"/>
      <c r="BV219" s="1640"/>
      <c r="BW219" s="1640"/>
      <c r="BX219" s="1640"/>
      <c r="BY219" s="1640"/>
      <c r="BZ219" s="1640"/>
      <c r="CA219" s="1640"/>
      <c r="CB219" s="1640"/>
      <c r="CC219" s="1640"/>
      <c r="CD219" s="1640"/>
      <c r="CE219" s="1640"/>
      <c r="CF219" s="1851"/>
    </row>
    <row customHeight="1" ht="11.25" hidden="1">
      <c r="A220" s="1809"/>
      <c r="B220" s="1164"/>
      <c r="C220" s="416"/>
      <c r="D220" s="2597"/>
      <c r="E220" s="653" t="s">
        <v>22</v>
      </c>
      <c r="F220" s="1172" t="s">
        <v>22</v>
      </c>
      <c r="G220" s="1172" t="s">
        <v>760</v>
      </c>
      <c r="H220" s="655" t="s">
        <v>22</v>
      </c>
      <c r="I220" s="655"/>
      <c r="J220" s="655"/>
      <c r="K220" s="655"/>
      <c r="L220" s="655"/>
      <c r="M220" s="655"/>
      <c r="N220" s="655"/>
      <c r="O220" s="655"/>
      <c r="P220" s="655"/>
      <c r="Q220" s="655"/>
      <c r="R220" s="656"/>
      <c r="S220" s="657"/>
      <c r="T220" s="722"/>
      <c r="U220" s="2391"/>
      <c r="V220" s="2391"/>
      <c r="W220" s="1164"/>
      <c r="X220" s="1164"/>
      <c r="Y220" s="1164"/>
      <c r="Z220" s="1164"/>
      <c r="AA220" s="1640"/>
      <c r="AB220" s="1164"/>
      <c r="AC220" s="1799"/>
      <c r="AD220" s="633"/>
      <c r="AE220" s="1164"/>
      <c r="AF220" s="1164"/>
      <c r="AG220" s="1640"/>
      <c r="AH220" s="1640"/>
      <c r="AI220" s="1640"/>
      <c r="AJ220" s="1640"/>
      <c r="AK220" s="1640"/>
      <c r="AL220" s="1640"/>
      <c r="AM220" s="1640"/>
      <c r="AN220" s="1640"/>
      <c r="AO220" s="1640"/>
      <c r="AP220" s="1640"/>
      <c r="AQ220" s="1640"/>
      <c r="AR220" s="1640"/>
      <c r="AS220" s="1640"/>
      <c r="AT220" s="1640"/>
      <c r="AU220" s="1640"/>
      <c r="AV220" s="1640"/>
      <c r="AW220" s="1640"/>
      <c r="AX220" s="1640"/>
      <c r="AY220" s="1640"/>
      <c r="AZ220" s="1640"/>
      <c r="BA220" s="1640"/>
      <c r="BB220" s="1640"/>
      <c r="BC220" s="1640"/>
      <c r="BD220" s="1640"/>
      <c r="BE220" s="1640"/>
      <c r="BF220" s="1640"/>
      <c r="BG220" s="1640"/>
      <c r="BH220" s="1640"/>
      <c r="BI220" s="1640"/>
      <c r="BJ220" s="1640"/>
      <c r="BK220" s="1640"/>
      <c r="BL220" s="1640"/>
      <c r="BM220" s="1640"/>
      <c r="BN220" s="1640"/>
      <c r="BO220" s="1640"/>
      <c r="BP220" s="1640"/>
      <c r="BQ220" s="1640"/>
      <c r="BR220" s="1640"/>
      <c r="BS220" s="1640"/>
      <c r="BT220" s="1640"/>
      <c r="BU220" s="1640"/>
      <c r="BV220" s="1164"/>
      <c r="BW220" s="1164"/>
      <c r="BX220" s="1164"/>
      <c r="BY220" s="1164"/>
      <c r="BZ220" s="1164"/>
      <c r="CA220" s="1164"/>
      <c r="CB220" s="1164"/>
      <c r="CC220" s="1164"/>
      <c r="CD220" s="1164"/>
      <c r="CE220" s="1164"/>
      <c r="CF220" s="1851"/>
    </row>
    <row customHeight="1" ht="15" hidden="1">
      <c r="A221" s="627" t="s">
        <v>209</v>
      </c>
      <c r="B221" s="628"/>
      <c r="C221" s="628" t="s">
        <v>22</v>
      </c>
      <c r="D221" s="2595" t="s">
        <v>782</v>
      </c>
      <c r="E221" s="2394" t="s">
        <v>173</v>
      </c>
      <c r="F221" s="2395"/>
      <c r="G221" s="2396"/>
      <c r="H221" s="2400" t="str">
        <f>IF(A221="","",INDEX(DIFFERENTIATION_UNMERGE_VD,MATCH(A221,DIFFERENTIATION_ID_DIFF,0)))</f>
        <v>Холодное водоснабжение. Питьевая вода</v>
      </c>
      <c r="I221" s="2400"/>
      <c r="J221" s="2400"/>
      <c r="K221" s="2400"/>
      <c r="L221" s="2400"/>
      <c r="M221" s="2400"/>
      <c r="N221" s="2400"/>
      <c r="O221" s="2400"/>
      <c r="P221" s="2400"/>
      <c r="Q221" s="2400"/>
      <c r="R221" s="2400"/>
      <c r="S221" s="723"/>
      <c r="T221" s="720"/>
      <c r="U221" s="629"/>
      <c r="V221" s="629"/>
      <c r="W221" s="630"/>
      <c r="X221" s="630"/>
      <c r="Y221" s="630"/>
      <c r="Z221" s="630"/>
      <c r="AA221" s="631"/>
      <c r="AB221" s="632"/>
      <c r="AC221" s="2392"/>
      <c r="AD221" s="633"/>
      <c r="AE221" s="634" t="s">
        <v>22</v>
      </c>
      <c r="AF221" s="634"/>
      <c r="AG221" s="635" t="s">
        <v>754</v>
      </c>
      <c r="AH221" s="636">
        <v>3</v>
      </c>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30"/>
      <c r="BW221" s="630"/>
      <c r="BX221" s="630"/>
      <c r="BY221" s="630"/>
      <c r="BZ221" s="630"/>
      <c r="CA221" s="630"/>
      <c r="CB221" s="630"/>
      <c r="CC221" s="630"/>
      <c r="CD221" s="630"/>
      <c r="CE221" s="630"/>
      <c r="CF221" s="1851"/>
    </row>
    <row customHeight="1" ht="15" hidden="1">
      <c r="A222" s="627"/>
      <c r="B222" s="628"/>
      <c r="C222" s="628"/>
      <c r="D222" s="2596"/>
      <c r="E222" s="2394" t="s">
        <v>702</v>
      </c>
      <c r="F222" s="2395"/>
      <c r="G222" s="2396"/>
      <c r="H222" s="2400" t="str">
        <f>IF(A221="","",INDEX(DIFFERENTIATION_UNMERGE_AREA,MATCH(A221,DIFFERENTIATION_ID_DIFF,0)))</f>
        <v>Территория 4</v>
      </c>
      <c r="I222" s="2400"/>
      <c r="J222" s="2400"/>
      <c r="K222" s="2400"/>
      <c r="L222" s="2400"/>
      <c r="M222" s="2400"/>
      <c r="N222" s="2400"/>
      <c r="O222" s="2400"/>
      <c r="P222" s="2400"/>
      <c r="Q222" s="2400"/>
      <c r="R222" s="2400"/>
      <c r="S222" s="723"/>
      <c r="T222" s="720"/>
      <c r="U222" s="629"/>
      <c r="V222" s="629"/>
      <c r="W222" s="630"/>
      <c r="X222" s="630"/>
      <c r="Y222" s="630"/>
      <c r="Z222" s="630"/>
      <c r="AA222" s="631"/>
      <c r="AB222" s="632"/>
      <c r="AC222" s="2392"/>
      <c r="AD222" s="633"/>
      <c r="AE222" s="634"/>
      <c r="AF222" s="634"/>
      <c r="AG222" s="635"/>
      <c r="AH222" s="636"/>
      <c r="AI222" s="629"/>
      <c r="AJ222" s="629"/>
      <c r="AK222" s="629"/>
      <c r="AL222" s="629"/>
      <c r="AM222" s="629"/>
      <c r="AN222" s="629"/>
      <c r="AO222" s="629"/>
      <c r="AP222" s="629"/>
      <c r="AQ222" s="629"/>
      <c r="AR222" s="629"/>
      <c r="AS222" s="629"/>
      <c r="AT222" s="629"/>
      <c r="AU222" s="629"/>
      <c r="AV222" s="629"/>
      <c r="AW222" s="629"/>
      <c r="AX222" s="629"/>
      <c r="AY222" s="629"/>
      <c r="AZ222" s="629"/>
      <c r="BA222" s="629"/>
      <c r="BB222" s="629"/>
      <c r="BC222" s="629"/>
      <c r="BD222" s="629"/>
      <c r="BE222" s="629"/>
      <c r="BF222" s="629"/>
      <c r="BG222" s="629"/>
      <c r="BH222" s="629"/>
      <c r="BI222" s="629"/>
      <c r="BJ222" s="629"/>
      <c r="BK222" s="629"/>
      <c r="BL222" s="629"/>
      <c r="BM222" s="629"/>
      <c r="BN222" s="629"/>
      <c r="BO222" s="629"/>
      <c r="BP222" s="629"/>
      <c r="BQ222" s="629"/>
      <c r="BR222" s="629"/>
      <c r="BS222" s="629"/>
      <c r="BT222" s="629"/>
      <c r="BU222" s="629"/>
      <c r="BV222" s="630"/>
      <c r="BW222" s="630"/>
      <c r="BX222" s="630"/>
      <c r="BY222" s="630"/>
      <c r="BZ222" s="630"/>
      <c r="CA222" s="630"/>
      <c r="CB222" s="630"/>
      <c r="CC222" s="630"/>
      <c r="CD222" s="630"/>
      <c r="CE222" s="630"/>
      <c r="CF222" s="1851"/>
    </row>
    <row customHeight="1" ht="15" hidden="1">
      <c r="A223" s="627"/>
      <c r="B223" s="628"/>
      <c r="C223" s="628"/>
      <c r="D223" s="2596"/>
      <c r="E223" s="2394" t="s">
        <v>703</v>
      </c>
      <c r="F223" s="2395"/>
      <c r="G223" s="2396"/>
      <c r="H223" s="2400" t="str">
        <f>IF(A221="","",INDEX(DIFFERENTIATION_UNMERGE_SYSTEM,MATCH(A221,DIFFERENTIATION_ID_DIFF,0)))</f>
        <v>Централизованная система водоснабжения городского округа ЗАТО город Фокино (п.Путятин)</v>
      </c>
      <c r="I223" s="2400"/>
      <c r="J223" s="2400"/>
      <c r="K223" s="2400"/>
      <c r="L223" s="2400"/>
      <c r="M223" s="2400"/>
      <c r="N223" s="2400"/>
      <c r="O223" s="2400"/>
      <c r="P223" s="2400"/>
      <c r="Q223" s="2400"/>
      <c r="R223" s="2400"/>
      <c r="S223" s="723"/>
      <c r="T223" s="720"/>
      <c r="U223" s="629"/>
      <c r="V223" s="629"/>
      <c r="W223" s="630"/>
      <c r="X223" s="630"/>
      <c r="Y223" s="630"/>
      <c r="Z223" s="630"/>
      <c r="AA223" s="631"/>
      <c r="AB223" s="632"/>
      <c r="AC223" s="2392"/>
      <c r="AD223" s="633"/>
      <c r="AE223" s="634"/>
      <c r="AF223" s="634"/>
      <c r="AG223" s="635"/>
      <c r="AH223" s="636"/>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30"/>
      <c r="BW223" s="630"/>
      <c r="BX223" s="630"/>
      <c r="BY223" s="630"/>
      <c r="BZ223" s="630"/>
      <c r="CA223" s="630"/>
      <c r="CB223" s="630"/>
      <c r="CC223" s="630"/>
      <c r="CD223" s="630"/>
      <c r="CE223" s="630"/>
      <c r="CF223" s="1851"/>
    </row>
    <row customHeight="1" ht="24.75" hidden="1">
      <c r="A224" s="1809"/>
      <c r="B224" s="1164"/>
      <c r="C224" s="416"/>
      <c r="D224" s="2596"/>
      <c r="E224" s="2393" t="s">
        <v>755</v>
      </c>
      <c r="F224" s="2393"/>
      <c r="G224" s="2393"/>
      <c r="H224" s="2393"/>
      <c r="I224" s="2393"/>
      <c r="J224" s="2393"/>
      <c r="K224" s="2393"/>
      <c r="L224" s="2393"/>
      <c r="M224" s="2393"/>
      <c r="N224" s="2393"/>
      <c r="O224" s="2393"/>
      <c r="P224" s="2393"/>
      <c r="Q224" s="562">
        <f>SUMIF(T225:T226,"i",Q225:Q226)</f>
        <v>0</v>
      </c>
      <c r="R224" s="1021"/>
      <c r="S224" s="1801" t="s">
        <v>756</v>
      </c>
      <c r="T224" s="721" t="s">
        <v>757</v>
      </c>
      <c r="U224" s="2391">
        <v>1</v>
      </c>
      <c r="V224" s="2391" t="str">
        <f>INDEX(B_FHD_FLAG_INDEX_1,1,MATCH(A221,B_FHD_FLAG_DIFFERENTIATION,0))</f>
        <v>отсутствует</v>
      </c>
      <c r="W224" s="1164"/>
      <c r="X224" s="1164"/>
      <c r="Y224" s="1164"/>
      <c r="Z224" s="1164"/>
      <c r="AA224" s="1640"/>
      <c r="AB224" s="1164"/>
      <c r="AC224" s="2392"/>
      <c r="AD224" s="633"/>
      <c r="AE224" s="1164"/>
      <c r="AF224" s="1164"/>
      <c r="AG224" s="1640"/>
      <c r="AH224" s="1640"/>
      <c r="AI224" s="1640"/>
      <c r="AJ224" s="1640"/>
      <c r="AK224" s="1640"/>
      <c r="AL224" s="1640"/>
      <c r="AM224" s="1640"/>
      <c r="AN224" s="1640"/>
      <c r="AO224" s="1640"/>
      <c r="AP224" s="1640"/>
      <c r="AQ224" s="1640"/>
      <c r="AR224" s="1640"/>
      <c r="AS224" s="1640"/>
      <c r="AT224" s="1640"/>
      <c r="AU224" s="1640"/>
      <c r="AV224" s="1640"/>
      <c r="AW224" s="1640"/>
      <c r="AX224" s="1640"/>
      <c r="AY224" s="1640"/>
      <c r="AZ224" s="1640"/>
      <c r="BA224" s="1640"/>
      <c r="BB224" s="1640"/>
      <c r="BC224" s="1640"/>
      <c r="BD224" s="1640"/>
      <c r="BE224" s="1640"/>
      <c r="BF224" s="1640"/>
      <c r="BG224" s="1640"/>
      <c r="BH224" s="1640"/>
      <c r="BI224" s="1640"/>
      <c r="BJ224" s="1640"/>
      <c r="BK224" s="1640"/>
      <c r="BL224" s="1640"/>
      <c r="BM224" s="1640"/>
      <c r="BN224" s="1640"/>
      <c r="BO224" s="1640"/>
      <c r="BP224" s="1640"/>
      <c r="BQ224" s="1640"/>
      <c r="BR224" s="1640"/>
      <c r="BS224" s="1640"/>
      <c r="BT224" s="1640"/>
      <c r="BU224" s="1640"/>
      <c r="BV224" s="1164"/>
      <c r="BW224" s="1164"/>
      <c r="BX224" s="1164"/>
      <c r="BY224" s="1164"/>
      <c r="BZ224" s="1164"/>
      <c r="CA224" s="1164"/>
      <c r="CB224" s="1164"/>
      <c r="CC224" s="1164"/>
      <c r="CD224" s="1164"/>
      <c r="CE224" s="1164"/>
      <c r="CF224" s="1851"/>
    </row>
    <row customHeight="1" ht="11.25" hidden="1">
      <c r="A225" s="1796"/>
      <c r="B225" s="1640"/>
      <c r="C225" s="1640"/>
      <c r="D225" s="2596"/>
      <c r="E225" s="639"/>
      <c r="F225" s="639">
        <v>0</v>
      </c>
      <c r="G225" s="639"/>
      <c r="H225" s="639"/>
      <c r="I225" s="639"/>
      <c r="J225" s="639"/>
      <c r="K225" s="639"/>
      <c r="L225" s="639"/>
      <c r="M225" s="639"/>
      <c r="N225" s="639"/>
      <c r="O225" s="639"/>
      <c r="P225" s="639"/>
      <c r="Q225" s="639"/>
      <c r="R225" s="639"/>
      <c r="S225" s="640"/>
      <c r="T225" s="722"/>
      <c r="U225" s="2391"/>
      <c r="V225" s="2391"/>
      <c r="W225" s="1640"/>
      <c r="X225" s="1640"/>
      <c r="Y225" s="1640"/>
      <c r="Z225" s="1640"/>
      <c r="AA225" s="1640"/>
      <c r="AB225" s="1164"/>
      <c r="AC225" s="2392"/>
      <c r="AD225" s="633"/>
      <c r="AE225" s="1164"/>
      <c r="AF225" s="1164"/>
      <c r="AG225" s="1640"/>
      <c r="AH225" s="1640"/>
      <c r="AI225" s="1640"/>
      <c r="AJ225" s="1640"/>
      <c r="AK225" s="1640"/>
      <c r="AL225" s="1640"/>
      <c r="AM225" s="1640"/>
      <c r="AN225" s="1640"/>
      <c r="AO225" s="1640"/>
      <c r="AP225" s="1640"/>
      <c r="AQ225" s="1640"/>
      <c r="AR225" s="1640"/>
      <c r="AS225" s="1640"/>
      <c r="AT225" s="1640"/>
      <c r="AU225" s="1640"/>
      <c r="AV225" s="1640"/>
      <c r="AW225" s="1640"/>
      <c r="AX225" s="1640"/>
      <c r="AY225" s="1640"/>
      <c r="AZ225" s="1640"/>
      <c r="BA225" s="1640"/>
      <c r="BB225" s="1640"/>
      <c r="BC225" s="1640"/>
      <c r="BD225" s="1640"/>
      <c r="BE225" s="1640"/>
      <c r="BF225" s="1640"/>
      <c r="BG225" s="1640"/>
      <c r="BH225" s="1640"/>
      <c r="BI225" s="1640"/>
      <c r="BJ225" s="1640"/>
      <c r="BK225" s="1640"/>
      <c r="BL225" s="1640"/>
      <c r="BM225" s="1640"/>
      <c r="BN225" s="1640"/>
      <c r="BO225" s="1640"/>
      <c r="BP225" s="1640"/>
      <c r="BQ225" s="1640"/>
      <c r="BR225" s="1640"/>
      <c r="BS225" s="1640"/>
      <c r="BT225" s="1640"/>
      <c r="BU225" s="1640"/>
      <c r="BV225" s="1640"/>
      <c r="BW225" s="1640"/>
      <c r="BX225" s="1640"/>
      <c r="BY225" s="1640"/>
      <c r="BZ225" s="1640"/>
      <c r="CA225" s="1640"/>
      <c r="CB225" s="1640"/>
      <c r="CC225" s="1640"/>
      <c r="CD225" s="1640"/>
      <c r="CE225" s="1640"/>
      <c r="CF225" s="1851"/>
    </row>
    <row customHeight="1" ht="11.25" hidden="1">
      <c r="A226" s="1809"/>
      <c r="B226" s="1164"/>
      <c r="C226" s="416"/>
      <c r="D226" s="2596"/>
      <c r="E226" s="653" t="s">
        <v>22</v>
      </c>
      <c r="F226" s="1172" t="s">
        <v>22</v>
      </c>
      <c r="G226" s="1172" t="s">
        <v>760</v>
      </c>
      <c r="H226" s="655" t="s">
        <v>22</v>
      </c>
      <c r="I226" s="655"/>
      <c r="J226" s="655"/>
      <c r="K226" s="655"/>
      <c r="L226" s="655"/>
      <c r="M226" s="655"/>
      <c r="N226" s="655"/>
      <c r="O226" s="655"/>
      <c r="P226" s="655"/>
      <c r="Q226" s="655"/>
      <c r="R226" s="656"/>
      <c r="S226" s="657"/>
      <c r="T226" s="722"/>
      <c r="U226" s="2391"/>
      <c r="V226" s="2391"/>
      <c r="W226" s="1164"/>
      <c r="X226" s="1164"/>
      <c r="Y226" s="1164"/>
      <c r="Z226" s="1164"/>
      <c r="AA226" s="1640"/>
      <c r="AB226" s="1164"/>
      <c r="AC226" s="2392"/>
      <c r="AD226" s="633"/>
      <c r="AE226" s="1164"/>
      <c r="AF226" s="1164"/>
      <c r="AG226" s="1640"/>
      <c r="AH226" s="1640"/>
      <c r="AI226" s="1640"/>
      <c r="AJ226" s="1640"/>
      <c r="AK226" s="1640"/>
      <c r="AL226" s="1640"/>
      <c r="AM226" s="1640"/>
      <c r="AN226" s="1640"/>
      <c r="AO226" s="1640"/>
      <c r="AP226" s="1640"/>
      <c r="AQ226" s="1640"/>
      <c r="AR226" s="1640"/>
      <c r="AS226" s="1640"/>
      <c r="AT226" s="1640"/>
      <c r="AU226" s="1640"/>
      <c r="AV226" s="1640"/>
      <c r="AW226" s="1640"/>
      <c r="AX226" s="1640"/>
      <c r="AY226" s="1640"/>
      <c r="AZ226" s="1640"/>
      <c r="BA226" s="1640"/>
      <c r="BB226" s="1640"/>
      <c r="BC226" s="1640"/>
      <c r="BD226" s="1640"/>
      <c r="BE226" s="1640"/>
      <c r="BF226" s="1640"/>
      <c r="BG226" s="1640"/>
      <c r="BH226" s="1640"/>
      <c r="BI226" s="1640"/>
      <c r="BJ226" s="1640"/>
      <c r="BK226" s="1640"/>
      <c r="BL226" s="1640"/>
      <c r="BM226" s="1640"/>
      <c r="BN226" s="1640"/>
      <c r="BO226" s="1640"/>
      <c r="BP226" s="1640"/>
      <c r="BQ226" s="1640"/>
      <c r="BR226" s="1640"/>
      <c r="BS226" s="1640"/>
      <c r="BT226" s="1640"/>
      <c r="BU226" s="1640"/>
      <c r="BV226" s="1164"/>
      <c r="BW226" s="1164"/>
      <c r="BX226" s="1164"/>
      <c r="BY226" s="1164"/>
      <c r="BZ226" s="1164"/>
      <c r="CA226" s="1164"/>
      <c r="CB226" s="1164"/>
      <c r="CC226" s="1164"/>
      <c r="CD226" s="1164"/>
      <c r="CE226" s="1164"/>
      <c r="CF226" s="1851"/>
    </row>
    <row customHeight="1" ht="24.75" hidden="1">
      <c r="A227" s="1809"/>
      <c r="B227" s="1164"/>
      <c r="C227" s="416"/>
      <c r="D227" s="2596"/>
      <c r="E227" s="2393" t="s">
        <v>758</v>
      </c>
      <c r="F227" s="2393"/>
      <c r="G227" s="2393"/>
      <c r="H227" s="2393"/>
      <c r="I227" s="2393"/>
      <c r="J227" s="2393"/>
      <c r="K227" s="2393"/>
      <c r="L227" s="2393"/>
      <c r="M227" s="2393"/>
      <c r="N227" s="2393"/>
      <c r="O227" s="2393"/>
      <c r="P227" s="2393"/>
      <c r="Q227" s="562">
        <f>SUMIF(T228:T229,"i",Q228:Q229)</f>
        <v>0</v>
      </c>
      <c r="R227" s="1021"/>
      <c r="S227" s="1801" t="s">
        <v>759</v>
      </c>
      <c r="T227" s="721" t="s">
        <v>757</v>
      </c>
      <c r="U227" s="2391">
        <v>1</v>
      </c>
      <c r="V227" s="2391" t="str">
        <f>INDEX(B_FHD_FLAG_INDEX_2,1,MATCH(A221,B_FHD_FLAG_DIFFERENTIATION,0))</f>
        <v>отсутствует</v>
      </c>
      <c r="W227" s="1164"/>
      <c r="X227" s="1164"/>
      <c r="Y227" s="1164"/>
      <c r="Z227" s="1164"/>
      <c r="AA227" s="1640"/>
      <c r="AB227" s="1164"/>
      <c r="AC227" s="1799"/>
      <c r="AD227" s="633"/>
      <c r="AE227" s="1164"/>
      <c r="AF227" s="1164"/>
      <c r="AG227" s="1640"/>
      <c r="AH227" s="1640"/>
      <c r="AI227" s="1640"/>
      <c r="AJ227" s="1640"/>
      <c r="AK227" s="1640"/>
      <c r="AL227" s="1640"/>
      <c r="AM227" s="1640"/>
      <c r="AN227" s="1640"/>
      <c r="AO227" s="1640"/>
      <c r="AP227" s="1640"/>
      <c r="AQ227" s="1640"/>
      <c r="AR227" s="1640"/>
      <c r="AS227" s="1640"/>
      <c r="AT227" s="1640"/>
      <c r="AU227" s="1640"/>
      <c r="AV227" s="1640"/>
      <c r="AW227" s="1640"/>
      <c r="AX227" s="1640"/>
      <c r="AY227" s="1640"/>
      <c r="AZ227" s="1640"/>
      <c r="BA227" s="1640"/>
      <c r="BB227" s="1640"/>
      <c r="BC227" s="1640"/>
      <c r="BD227" s="1640"/>
      <c r="BE227" s="1640"/>
      <c r="BF227" s="1640"/>
      <c r="BG227" s="1640"/>
      <c r="BH227" s="1640"/>
      <c r="BI227" s="1640"/>
      <c r="BJ227" s="1640"/>
      <c r="BK227" s="1640"/>
      <c r="BL227" s="1640"/>
      <c r="BM227" s="1640"/>
      <c r="BN227" s="1640"/>
      <c r="BO227" s="1640"/>
      <c r="BP227" s="1640"/>
      <c r="BQ227" s="1640"/>
      <c r="BR227" s="1640"/>
      <c r="BS227" s="1640"/>
      <c r="BT227" s="1640"/>
      <c r="BU227" s="1640"/>
      <c r="BV227" s="1164"/>
      <c r="BW227" s="1164"/>
      <c r="BX227" s="1164"/>
      <c r="BY227" s="1164"/>
      <c r="BZ227" s="1164"/>
      <c r="CA227" s="1164"/>
      <c r="CB227" s="1164"/>
      <c r="CC227" s="1164"/>
      <c r="CD227" s="1164"/>
      <c r="CE227" s="1164"/>
      <c r="CF227" s="1851"/>
    </row>
    <row customHeight="1" ht="11.25" hidden="1">
      <c r="A228" s="1796"/>
      <c r="B228" s="1640"/>
      <c r="C228" s="1640"/>
      <c r="D228" s="2596"/>
      <c r="E228" s="639"/>
      <c r="F228" s="639">
        <v>0</v>
      </c>
      <c r="G228" s="639"/>
      <c r="H228" s="639"/>
      <c r="I228" s="639"/>
      <c r="J228" s="639"/>
      <c r="K228" s="639"/>
      <c r="L228" s="639"/>
      <c r="M228" s="639"/>
      <c r="N228" s="639"/>
      <c r="O228" s="639"/>
      <c r="P228" s="639"/>
      <c r="Q228" s="639"/>
      <c r="R228" s="639"/>
      <c r="S228" s="640"/>
      <c r="T228" s="722"/>
      <c r="U228" s="2391"/>
      <c r="V228" s="2391"/>
      <c r="W228" s="1640"/>
      <c r="X228" s="1640"/>
      <c r="Y228" s="1640"/>
      <c r="Z228" s="1640"/>
      <c r="AA228" s="1640"/>
      <c r="AB228" s="1164"/>
      <c r="AC228" s="1799"/>
      <c r="AD228" s="633"/>
      <c r="AE228" s="1164"/>
      <c r="AF228" s="1164"/>
      <c r="AG228" s="1640"/>
      <c r="AH228" s="1640"/>
      <c r="AI228" s="1640"/>
      <c r="AJ228" s="1640"/>
      <c r="AK228" s="1640"/>
      <c r="AL228" s="1640"/>
      <c r="AM228" s="1640"/>
      <c r="AN228" s="1640"/>
      <c r="AO228" s="1640"/>
      <c r="AP228" s="1640"/>
      <c r="AQ228" s="1640"/>
      <c r="AR228" s="1640"/>
      <c r="AS228" s="1640"/>
      <c r="AT228" s="1640"/>
      <c r="AU228" s="1640"/>
      <c r="AV228" s="1640"/>
      <c r="AW228" s="1640"/>
      <c r="AX228" s="1640"/>
      <c r="AY228" s="1640"/>
      <c r="AZ228" s="1640"/>
      <c r="BA228" s="1640"/>
      <c r="BB228" s="1640"/>
      <c r="BC228" s="1640"/>
      <c r="BD228" s="1640"/>
      <c r="BE228" s="1640"/>
      <c r="BF228" s="1640"/>
      <c r="BG228" s="1640"/>
      <c r="BH228" s="1640"/>
      <c r="BI228" s="1640"/>
      <c r="BJ228" s="1640"/>
      <c r="BK228" s="1640"/>
      <c r="BL228" s="1640"/>
      <c r="BM228" s="1640"/>
      <c r="BN228" s="1640"/>
      <c r="BO228" s="1640"/>
      <c r="BP228" s="1640"/>
      <c r="BQ228" s="1640"/>
      <c r="BR228" s="1640"/>
      <c r="BS228" s="1640"/>
      <c r="BT228" s="1640"/>
      <c r="BU228" s="1640"/>
      <c r="BV228" s="1640"/>
      <c r="BW228" s="1640"/>
      <c r="BX228" s="1640"/>
      <c r="BY228" s="1640"/>
      <c r="BZ228" s="1640"/>
      <c r="CA228" s="1640"/>
      <c r="CB228" s="1640"/>
      <c r="CC228" s="1640"/>
      <c r="CD228" s="1640"/>
      <c r="CE228" s="1640"/>
      <c r="CF228" s="1851"/>
    </row>
    <row customHeight="1" ht="11.25" hidden="1">
      <c r="A229" s="1809"/>
      <c r="B229" s="1164"/>
      <c r="C229" s="416"/>
      <c r="D229" s="2597"/>
      <c r="E229" s="653" t="s">
        <v>22</v>
      </c>
      <c r="F229" s="1172" t="s">
        <v>22</v>
      </c>
      <c r="G229" s="1172" t="s">
        <v>760</v>
      </c>
      <c r="H229" s="655" t="s">
        <v>22</v>
      </c>
      <c r="I229" s="655"/>
      <c r="J229" s="655"/>
      <c r="K229" s="655"/>
      <c r="L229" s="655"/>
      <c r="M229" s="655"/>
      <c r="N229" s="655"/>
      <c r="O229" s="655"/>
      <c r="P229" s="655"/>
      <c r="Q229" s="655"/>
      <c r="R229" s="656"/>
      <c r="S229" s="657"/>
      <c r="T229" s="722"/>
      <c r="U229" s="2391"/>
      <c r="V229" s="2391"/>
      <c r="W229" s="1164"/>
      <c r="X229" s="1164"/>
      <c r="Y229" s="1164"/>
      <c r="Z229" s="1164"/>
      <c r="AA229" s="1640"/>
      <c r="AB229" s="1164"/>
      <c r="AC229" s="1799"/>
      <c r="AD229" s="633"/>
      <c r="AE229" s="1164"/>
      <c r="AF229" s="1164"/>
      <c r="AG229" s="1640"/>
      <c r="AH229" s="1640"/>
      <c r="AI229" s="1640"/>
      <c r="AJ229" s="1640"/>
      <c r="AK229" s="1640"/>
      <c r="AL229" s="1640"/>
      <c r="AM229" s="1640"/>
      <c r="AN229" s="1640"/>
      <c r="AO229" s="1640"/>
      <c r="AP229" s="1640"/>
      <c r="AQ229" s="1640"/>
      <c r="AR229" s="1640"/>
      <c r="AS229" s="1640"/>
      <c r="AT229" s="1640"/>
      <c r="AU229" s="1640"/>
      <c r="AV229" s="1640"/>
      <c r="AW229" s="1640"/>
      <c r="AX229" s="1640"/>
      <c r="AY229" s="1640"/>
      <c r="AZ229" s="1640"/>
      <c r="BA229" s="1640"/>
      <c r="BB229" s="1640"/>
      <c r="BC229" s="1640"/>
      <c r="BD229" s="1640"/>
      <c r="BE229" s="1640"/>
      <c r="BF229" s="1640"/>
      <c r="BG229" s="1640"/>
      <c r="BH229" s="1640"/>
      <c r="BI229" s="1640"/>
      <c r="BJ229" s="1640"/>
      <c r="BK229" s="1640"/>
      <c r="BL229" s="1640"/>
      <c r="BM229" s="1640"/>
      <c r="BN229" s="1640"/>
      <c r="BO229" s="1640"/>
      <c r="BP229" s="1640"/>
      <c r="BQ229" s="1640"/>
      <c r="BR229" s="1640"/>
      <c r="BS229" s="1640"/>
      <c r="BT229" s="1640"/>
      <c r="BU229" s="1640"/>
      <c r="BV229" s="1164"/>
      <c r="BW229" s="1164"/>
      <c r="BX229" s="1164"/>
      <c r="BY229" s="1164"/>
      <c r="BZ229" s="1164"/>
      <c r="CA229" s="1164"/>
      <c r="CB229" s="1164"/>
      <c r="CC229" s="1164"/>
      <c r="CD229" s="1164"/>
      <c r="CE229" s="1164"/>
      <c r="CF229" s="1851"/>
    </row>
    <row customHeight="1" ht="15" hidden="1">
      <c r="A230" s="627" t="s">
        <v>219</v>
      </c>
      <c r="B230" s="628"/>
      <c r="C230" s="628" t="s">
        <v>22</v>
      </c>
      <c r="D230" s="2595" t="s">
        <v>783</v>
      </c>
      <c r="E230" s="2394" t="s">
        <v>173</v>
      </c>
      <c r="F230" s="2395"/>
      <c r="G230" s="2396"/>
      <c r="H230" s="2400" t="str">
        <f>IF(A230="","",INDEX(DIFFERENTIATION_UNMERGE_VD,MATCH(A230,DIFFERENTIATION_ID_DIFF,0)))</f>
        <v>Холодное водоснабжение. Питьевая вода</v>
      </c>
      <c r="I230" s="2400"/>
      <c r="J230" s="2400"/>
      <c r="K230" s="2400"/>
      <c r="L230" s="2400"/>
      <c r="M230" s="2400"/>
      <c r="N230" s="2400"/>
      <c r="O230" s="2400"/>
      <c r="P230" s="2400"/>
      <c r="Q230" s="2400"/>
      <c r="R230" s="2400"/>
      <c r="S230" s="723"/>
      <c r="T230" s="720"/>
      <c r="U230" s="629"/>
      <c r="V230" s="629"/>
      <c r="W230" s="630"/>
      <c r="X230" s="630"/>
      <c r="Y230" s="630"/>
      <c r="Z230" s="630"/>
      <c r="AA230" s="631"/>
      <c r="AB230" s="632"/>
      <c r="AC230" s="2392"/>
      <c r="AD230" s="633"/>
      <c r="AE230" s="634" t="s">
        <v>22</v>
      </c>
      <c r="AF230" s="634"/>
      <c r="AG230" s="635" t="s">
        <v>754</v>
      </c>
      <c r="AH230" s="636">
        <v>3</v>
      </c>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29"/>
      <c r="BO230" s="629"/>
      <c r="BP230" s="629"/>
      <c r="BQ230" s="629"/>
      <c r="BR230" s="629"/>
      <c r="BS230" s="629"/>
      <c r="BT230" s="629"/>
      <c r="BU230" s="629"/>
      <c r="BV230" s="630"/>
      <c r="BW230" s="630"/>
      <c r="BX230" s="630"/>
      <c r="BY230" s="630"/>
      <c r="BZ230" s="630"/>
      <c r="CA230" s="630"/>
      <c r="CB230" s="630"/>
      <c r="CC230" s="630"/>
      <c r="CD230" s="630"/>
      <c r="CE230" s="630"/>
      <c r="CF230" s="1851"/>
    </row>
    <row customHeight="1" ht="15" hidden="1">
      <c r="A231" s="627"/>
      <c r="B231" s="628"/>
      <c r="C231" s="628"/>
      <c r="D231" s="2596"/>
      <c r="E231" s="2394" t="s">
        <v>702</v>
      </c>
      <c r="F231" s="2395"/>
      <c r="G231" s="2396"/>
      <c r="H231" s="2400" t="str">
        <f>IF(A230="","",INDEX(DIFFERENTIATION_UNMERGE_AREA,MATCH(A230,DIFFERENTIATION_ID_DIFF,0)))</f>
        <v>Территория 8</v>
      </c>
      <c r="I231" s="2400"/>
      <c r="J231" s="2400"/>
      <c r="K231" s="2400"/>
      <c r="L231" s="2400"/>
      <c r="M231" s="2400"/>
      <c r="N231" s="2400"/>
      <c r="O231" s="2400"/>
      <c r="P231" s="2400"/>
      <c r="Q231" s="2400"/>
      <c r="R231" s="2400"/>
      <c r="S231" s="723"/>
      <c r="T231" s="720"/>
      <c r="U231" s="629"/>
      <c r="V231" s="629"/>
      <c r="W231" s="630"/>
      <c r="X231" s="630"/>
      <c r="Y231" s="630"/>
      <c r="Z231" s="630"/>
      <c r="AA231" s="631"/>
      <c r="AB231" s="632"/>
      <c r="AC231" s="2392"/>
      <c r="AD231" s="633"/>
      <c r="AE231" s="634"/>
      <c r="AF231" s="634"/>
      <c r="AG231" s="635"/>
      <c r="AH231" s="636"/>
      <c r="AI231" s="629"/>
      <c r="AJ231" s="629"/>
      <c r="AK231" s="629"/>
      <c r="AL231" s="629"/>
      <c r="AM231" s="629"/>
      <c r="AN231" s="629"/>
      <c r="AO231" s="629"/>
      <c r="AP231" s="629"/>
      <c r="AQ231" s="629"/>
      <c r="AR231" s="629"/>
      <c r="AS231" s="629"/>
      <c r="AT231" s="629"/>
      <c r="AU231" s="629"/>
      <c r="AV231" s="629"/>
      <c r="AW231" s="629"/>
      <c r="AX231" s="629"/>
      <c r="AY231" s="629"/>
      <c r="AZ231" s="629"/>
      <c r="BA231" s="629"/>
      <c r="BB231" s="629"/>
      <c r="BC231" s="629"/>
      <c r="BD231" s="629"/>
      <c r="BE231" s="629"/>
      <c r="BF231" s="629"/>
      <c r="BG231" s="629"/>
      <c r="BH231" s="629"/>
      <c r="BI231" s="629"/>
      <c r="BJ231" s="629"/>
      <c r="BK231" s="629"/>
      <c r="BL231" s="629"/>
      <c r="BM231" s="629"/>
      <c r="BN231" s="629"/>
      <c r="BO231" s="629"/>
      <c r="BP231" s="629"/>
      <c r="BQ231" s="629"/>
      <c r="BR231" s="629"/>
      <c r="BS231" s="629"/>
      <c r="BT231" s="629"/>
      <c r="BU231" s="629"/>
      <c r="BV231" s="630"/>
      <c r="BW231" s="630"/>
      <c r="BX231" s="630"/>
      <c r="BY231" s="630"/>
      <c r="BZ231" s="630"/>
      <c r="CA231" s="630"/>
      <c r="CB231" s="630"/>
      <c r="CC231" s="630"/>
      <c r="CD231" s="630"/>
      <c r="CE231" s="630"/>
      <c r="CF231" s="1851"/>
    </row>
    <row customHeight="1" ht="15" hidden="1">
      <c r="A232" s="627"/>
      <c r="B232" s="628"/>
      <c r="C232" s="628"/>
      <c r="D232" s="2596"/>
      <c r="E232" s="2394" t="s">
        <v>703</v>
      </c>
      <c r="F232" s="2395"/>
      <c r="G232" s="2396"/>
      <c r="H232" s="2400" t="str">
        <f>IF(A230="","",INDEX(DIFFERENTIATION_UNMERGE_SYSTEM,MATCH(A230,DIFFERENTIATION_ID_DIFF,0)))</f>
        <v>Централизованная система водоснабжения Реттиховского сельского поселения</v>
      </c>
      <c r="I232" s="2400"/>
      <c r="J232" s="2400"/>
      <c r="K232" s="2400"/>
      <c r="L232" s="2400"/>
      <c r="M232" s="2400"/>
      <c r="N232" s="2400"/>
      <c r="O232" s="2400"/>
      <c r="P232" s="2400"/>
      <c r="Q232" s="2400"/>
      <c r="R232" s="2400"/>
      <c r="S232" s="723"/>
      <c r="T232" s="720"/>
      <c r="U232" s="629"/>
      <c r="V232" s="629"/>
      <c r="W232" s="630"/>
      <c r="X232" s="630"/>
      <c r="Y232" s="630"/>
      <c r="Z232" s="630"/>
      <c r="AA232" s="631"/>
      <c r="AB232" s="632"/>
      <c r="AC232" s="2392"/>
      <c r="AD232" s="633"/>
      <c r="AE232" s="634"/>
      <c r="AF232" s="634"/>
      <c r="AG232" s="635"/>
      <c r="AH232" s="636"/>
      <c r="AI232" s="629"/>
      <c r="AJ232" s="629"/>
      <c r="AK232" s="629"/>
      <c r="AL232" s="629"/>
      <c r="AM232" s="629"/>
      <c r="AN232" s="629"/>
      <c r="AO232" s="629"/>
      <c r="AP232" s="629"/>
      <c r="AQ232" s="629"/>
      <c r="AR232" s="629"/>
      <c r="AS232" s="629"/>
      <c r="AT232" s="629"/>
      <c r="AU232" s="629"/>
      <c r="AV232" s="629"/>
      <c r="AW232" s="629"/>
      <c r="AX232" s="629"/>
      <c r="AY232" s="629"/>
      <c r="AZ232" s="629"/>
      <c r="BA232" s="629"/>
      <c r="BB232" s="629"/>
      <c r="BC232" s="629"/>
      <c r="BD232" s="629"/>
      <c r="BE232" s="629"/>
      <c r="BF232" s="629"/>
      <c r="BG232" s="629"/>
      <c r="BH232" s="629"/>
      <c r="BI232" s="629"/>
      <c r="BJ232" s="629"/>
      <c r="BK232" s="629"/>
      <c r="BL232" s="629"/>
      <c r="BM232" s="629"/>
      <c r="BN232" s="629"/>
      <c r="BO232" s="629"/>
      <c r="BP232" s="629"/>
      <c r="BQ232" s="629"/>
      <c r="BR232" s="629"/>
      <c r="BS232" s="629"/>
      <c r="BT232" s="629"/>
      <c r="BU232" s="629"/>
      <c r="BV232" s="630"/>
      <c r="BW232" s="630"/>
      <c r="BX232" s="630"/>
      <c r="BY232" s="630"/>
      <c r="BZ232" s="630"/>
      <c r="CA232" s="630"/>
      <c r="CB232" s="630"/>
      <c r="CC232" s="630"/>
      <c r="CD232" s="630"/>
      <c r="CE232" s="630"/>
      <c r="CF232" s="1851"/>
    </row>
    <row customHeight="1" ht="24.75" hidden="1">
      <c r="A233" s="1809"/>
      <c r="B233" s="1164"/>
      <c r="C233" s="416"/>
      <c r="D233" s="2596"/>
      <c r="E233" s="2393" t="s">
        <v>755</v>
      </c>
      <c r="F233" s="2393"/>
      <c r="G233" s="2393"/>
      <c r="H233" s="2393"/>
      <c r="I233" s="2393"/>
      <c r="J233" s="2393"/>
      <c r="K233" s="2393"/>
      <c r="L233" s="2393"/>
      <c r="M233" s="2393"/>
      <c r="N233" s="2393"/>
      <c r="O233" s="2393"/>
      <c r="P233" s="2393"/>
      <c r="Q233" s="562">
        <f>SUMIF(T234:T235,"i",Q234:Q235)</f>
        <v>0</v>
      </c>
      <c r="R233" s="1021"/>
      <c r="S233" s="1801" t="s">
        <v>756</v>
      </c>
      <c r="T233" s="721" t="s">
        <v>757</v>
      </c>
      <c r="U233" s="2391">
        <v>1</v>
      </c>
      <c r="V233" s="2391" t="str">
        <f>INDEX(B_FHD_FLAG_INDEX_1,1,MATCH(A230,B_FHD_FLAG_DIFFERENTIATION,0))</f>
        <v>отсутствует</v>
      </c>
      <c r="W233" s="1164"/>
      <c r="X233" s="1164"/>
      <c r="Y233" s="1164"/>
      <c r="Z233" s="1164"/>
      <c r="AA233" s="1640"/>
      <c r="AB233" s="1164"/>
      <c r="AC233" s="2392"/>
      <c r="AD233" s="633"/>
      <c r="AE233" s="1164"/>
      <c r="AF233" s="1164"/>
      <c r="AG233" s="1640"/>
      <c r="AH233" s="1640"/>
      <c r="AI233" s="1640"/>
      <c r="AJ233" s="1640"/>
      <c r="AK233" s="1640"/>
      <c r="AL233" s="1640"/>
      <c r="AM233" s="1640"/>
      <c r="AN233" s="1640"/>
      <c r="AO233" s="1640"/>
      <c r="AP233" s="1640"/>
      <c r="AQ233" s="1640"/>
      <c r="AR233" s="1640"/>
      <c r="AS233" s="1640"/>
      <c r="AT233" s="1640"/>
      <c r="AU233" s="1640"/>
      <c r="AV233" s="1640"/>
      <c r="AW233" s="1640"/>
      <c r="AX233" s="1640"/>
      <c r="AY233" s="1640"/>
      <c r="AZ233" s="1640"/>
      <c r="BA233" s="1640"/>
      <c r="BB233" s="1640"/>
      <c r="BC233" s="1640"/>
      <c r="BD233" s="1640"/>
      <c r="BE233" s="1640"/>
      <c r="BF233" s="1640"/>
      <c r="BG233" s="1640"/>
      <c r="BH233" s="1640"/>
      <c r="BI233" s="1640"/>
      <c r="BJ233" s="1640"/>
      <c r="BK233" s="1640"/>
      <c r="BL233" s="1640"/>
      <c r="BM233" s="1640"/>
      <c r="BN233" s="1640"/>
      <c r="BO233" s="1640"/>
      <c r="BP233" s="1640"/>
      <c r="BQ233" s="1640"/>
      <c r="BR233" s="1640"/>
      <c r="BS233" s="1640"/>
      <c r="BT233" s="1640"/>
      <c r="BU233" s="1640"/>
      <c r="BV233" s="1164"/>
      <c r="BW233" s="1164"/>
      <c r="BX233" s="1164"/>
      <c r="BY233" s="1164"/>
      <c r="BZ233" s="1164"/>
      <c r="CA233" s="1164"/>
      <c r="CB233" s="1164"/>
      <c r="CC233" s="1164"/>
      <c r="CD233" s="1164"/>
      <c r="CE233" s="1164"/>
      <c r="CF233" s="1851"/>
    </row>
    <row customHeight="1" ht="11.25" hidden="1">
      <c r="A234" s="1796"/>
      <c r="B234" s="1640"/>
      <c r="C234" s="1640"/>
      <c r="D234" s="2596"/>
      <c r="E234" s="639"/>
      <c r="F234" s="639">
        <v>0</v>
      </c>
      <c r="G234" s="639"/>
      <c r="H234" s="639"/>
      <c r="I234" s="639"/>
      <c r="J234" s="639"/>
      <c r="K234" s="639"/>
      <c r="L234" s="639"/>
      <c r="M234" s="639"/>
      <c r="N234" s="639"/>
      <c r="O234" s="639"/>
      <c r="P234" s="639"/>
      <c r="Q234" s="639"/>
      <c r="R234" s="639"/>
      <c r="S234" s="640"/>
      <c r="T234" s="722"/>
      <c r="U234" s="2391"/>
      <c r="V234" s="2391"/>
      <c r="W234" s="1640"/>
      <c r="X234" s="1640"/>
      <c r="Y234" s="1640"/>
      <c r="Z234" s="1640"/>
      <c r="AA234" s="1640"/>
      <c r="AB234" s="1164"/>
      <c r="AC234" s="2392"/>
      <c r="AD234" s="633"/>
      <c r="AE234" s="1164"/>
      <c r="AF234" s="1164"/>
      <c r="AG234" s="1640"/>
      <c r="AH234" s="1640"/>
      <c r="AI234" s="1640"/>
      <c r="AJ234" s="1640"/>
      <c r="AK234" s="1640"/>
      <c r="AL234" s="1640"/>
      <c r="AM234" s="1640"/>
      <c r="AN234" s="1640"/>
      <c r="AO234" s="1640"/>
      <c r="AP234" s="1640"/>
      <c r="AQ234" s="1640"/>
      <c r="AR234" s="1640"/>
      <c r="AS234" s="1640"/>
      <c r="AT234" s="1640"/>
      <c r="AU234" s="1640"/>
      <c r="AV234" s="1640"/>
      <c r="AW234" s="1640"/>
      <c r="AX234" s="1640"/>
      <c r="AY234" s="1640"/>
      <c r="AZ234" s="1640"/>
      <c r="BA234" s="1640"/>
      <c r="BB234" s="1640"/>
      <c r="BC234" s="1640"/>
      <c r="BD234" s="1640"/>
      <c r="BE234" s="1640"/>
      <c r="BF234" s="1640"/>
      <c r="BG234" s="1640"/>
      <c r="BH234" s="1640"/>
      <c r="BI234" s="1640"/>
      <c r="BJ234" s="1640"/>
      <c r="BK234" s="1640"/>
      <c r="BL234" s="1640"/>
      <c r="BM234" s="1640"/>
      <c r="BN234" s="1640"/>
      <c r="BO234" s="1640"/>
      <c r="BP234" s="1640"/>
      <c r="BQ234" s="1640"/>
      <c r="BR234" s="1640"/>
      <c r="BS234" s="1640"/>
      <c r="BT234" s="1640"/>
      <c r="BU234" s="1640"/>
      <c r="BV234" s="1640"/>
      <c r="BW234" s="1640"/>
      <c r="BX234" s="1640"/>
      <c r="BY234" s="1640"/>
      <c r="BZ234" s="1640"/>
      <c r="CA234" s="1640"/>
      <c r="CB234" s="1640"/>
      <c r="CC234" s="1640"/>
      <c r="CD234" s="1640"/>
      <c r="CE234" s="1640"/>
      <c r="CF234" s="1851"/>
    </row>
    <row customHeight="1" ht="11.25" hidden="1">
      <c r="A235" s="1809"/>
      <c r="B235" s="1164"/>
      <c r="C235" s="416"/>
      <c r="D235" s="2596"/>
      <c r="E235" s="653" t="s">
        <v>22</v>
      </c>
      <c r="F235" s="1172" t="s">
        <v>22</v>
      </c>
      <c r="G235" s="1172" t="s">
        <v>760</v>
      </c>
      <c r="H235" s="655" t="s">
        <v>22</v>
      </c>
      <c r="I235" s="655"/>
      <c r="J235" s="655"/>
      <c r="K235" s="655"/>
      <c r="L235" s="655"/>
      <c r="M235" s="655"/>
      <c r="N235" s="655"/>
      <c r="O235" s="655"/>
      <c r="P235" s="655"/>
      <c r="Q235" s="655"/>
      <c r="R235" s="656"/>
      <c r="S235" s="657"/>
      <c r="T235" s="722"/>
      <c r="U235" s="2391"/>
      <c r="V235" s="2391"/>
      <c r="W235" s="1164"/>
      <c r="X235" s="1164"/>
      <c r="Y235" s="1164"/>
      <c r="Z235" s="1164"/>
      <c r="AA235" s="1640"/>
      <c r="AB235" s="1164"/>
      <c r="AC235" s="2392"/>
      <c r="AD235" s="633"/>
      <c r="AE235" s="1164"/>
      <c r="AF235" s="1164"/>
      <c r="AG235" s="1640"/>
      <c r="AH235" s="1640"/>
      <c r="AI235" s="1640"/>
      <c r="AJ235" s="1640"/>
      <c r="AK235" s="1640"/>
      <c r="AL235" s="1640"/>
      <c r="AM235" s="1640"/>
      <c r="AN235" s="1640"/>
      <c r="AO235" s="1640"/>
      <c r="AP235" s="1640"/>
      <c r="AQ235" s="1640"/>
      <c r="AR235" s="1640"/>
      <c r="AS235" s="1640"/>
      <c r="AT235" s="1640"/>
      <c r="AU235" s="1640"/>
      <c r="AV235" s="1640"/>
      <c r="AW235" s="1640"/>
      <c r="AX235" s="1640"/>
      <c r="AY235" s="1640"/>
      <c r="AZ235" s="1640"/>
      <c r="BA235" s="1640"/>
      <c r="BB235" s="1640"/>
      <c r="BC235" s="1640"/>
      <c r="BD235" s="1640"/>
      <c r="BE235" s="1640"/>
      <c r="BF235" s="1640"/>
      <c r="BG235" s="1640"/>
      <c r="BH235" s="1640"/>
      <c r="BI235" s="1640"/>
      <c r="BJ235" s="1640"/>
      <c r="BK235" s="1640"/>
      <c r="BL235" s="1640"/>
      <c r="BM235" s="1640"/>
      <c r="BN235" s="1640"/>
      <c r="BO235" s="1640"/>
      <c r="BP235" s="1640"/>
      <c r="BQ235" s="1640"/>
      <c r="BR235" s="1640"/>
      <c r="BS235" s="1640"/>
      <c r="BT235" s="1640"/>
      <c r="BU235" s="1640"/>
      <c r="BV235" s="1164"/>
      <c r="BW235" s="1164"/>
      <c r="BX235" s="1164"/>
      <c r="BY235" s="1164"/>
      <c r="BZ235" s="1164"/>
      <c r="CA235" s="1164"/>
      <c r="CB235" s="1164"/>
      <c r="CC235" s="1164"/>
      <c r="CD235" s="1164"/>
      <c r="CE235" s="1164"/>
      <c r="CF235" s="1851"/>
    </row>
    <row customHeight="1" ht="24.75" hidden="1">
      <c r="A236" s="1809"/>
      <c r="B236" s="1164"/>
      <c r="C236" s="416"/>
      <c r="D236" s="2596"/>
      <c r="E236" s="2393" t="s">
        <v>758</v>
      </c>
      <c r="F236" s="2393"/>
      <c r="G236" s="2393"/>
      <c r="H236" s="2393"/>
      <c r="I236" s="2393"/>
      <c r="J236" s="2393"/>
      <c r="K236" s="2393"/>
      <c r="L236" s="2393"/>
      <c r="M236" s="2393"/>
      <c r="N236" s="2393"/>
      <c r="O236" s="2393"/>
      <c r="P236" s="2393"/>
      <c r="Q236" s="562">
        <f>SUMIF(T237:T238,"i",Q237:Q238)</f>
        <v>0</v>
      </c>
      <c r="R236" s="1021"/>
      <c r="S236" s="1801" t="s">
        <v>759</v>
      </c>
      <c r="T236" s="721" t="s">
        <v>757</v>
      </c>
      <c r="U236" s="2391">
        <v>1</v>
      </c>
      <c r="V236" s="2391" t="str">
        <f>INDEX(B_FHD_FLAG_INDEX_2,1,MATCH(A230,B_FHD_FLAG_DIFFERENTIATION,0))</f>
        <v>отсутствует</v>
      </c>
      <c r="W236" s="1164"/>
      <c r="X236" s="1164"/>
      <c r="Y236" s="1164"/>
      <c r="Z236" s="1164"/>
      <c r="AA236" s="1640"/>
      <c r="AB236" s="1164"/>
      <c r="AC236" s="1799"/>
      <c r="AD236" s="633"/>
      <c r="AE236" s="1164"/>
      <c r="AF236" s="1164"/>
      <c r="AG236" s="1640"/>
      <c r="AH236" s="1640"/>
      <c r="AI236" s="1640"/>
      <c r="AJ236" s="1640"/>
      <c r="AK236" s="1640"/>
      <c r="AL236" s="1640"/>
      <c r="AM236" s="1640"/>
      <c r="AN236" s="1640"/>
      <c r="AO236" s="1640"/>
      <c r="AP236" s="1640"/>
      <c r="AQ236" s="1640"/>
      <c r="AR236" s="1640"/>
      <c r="AS236" s="1640"/>
      <c r="AT236" s="1640"/>
      <c r="AU236" s="1640"/>
      <c r="AV236" s="1640"/>
      <c r="AW236" s="1640"/>
      <c r="AX236" s="1640"/>
      <c r="AY236" s="1640"/>
      <c r="AZ236" s="1640"/>
      <c r="BA236" s="1640"/>
      <c r="BB236" s="1640"/>
      <c r="BC236" s="1640"/>
      <c r="BD236" s="1640"/>
      <c r="BE236" s="1640"/>
      <c r="BF236" s="1640"/>
      <c r="BG236" s="1640"/>
      <c r="BH236" s="1640"/>
      <c r="BI236" s="1640"/>
      <c r="BJ236" s="1640"/>
      <c r="BK236" s="1640"/>
      <c r="BL236" s="1640"/>
      <c r="BM236" s="1640"/>
      <c r="BN236" s="1640"/>
      <c r="BO236" s="1640"/>
      <c r="BP236" s="1640"/>
      <c r="BQ236" s="1640"/>
      <c r="BR236" s="1640"/>
      <c r="BS236" s="1640"/>
      <c r="BT236" s="1640"/>
      <c r="BU236" s="1640"/>
      <c r="BV236" s="1164"/>
      <c r="BW236" s="1164"/>
      <c r="BX236" s="1164"/>
      <c r="BY236" s="1164"/>
      <c r="BZ236" s="1164"/>
      <c r="CA236" s="1164"/>
      <c r="CB236" s="1164"/>
      <c r="CC236" s="1164"/>
      <c r="CD236" s="1164"/>
      <c r="CE236" s="1164"/>
      <c r="CF236" s="1851"/>
    </row>
    <row customHeight="1" ht="11.25" hidden="1">
      <c r="A237" s="1796"/>
      <c r="B237" s="1640"/>
      <c r="C237" s="1640"/>
      <c r="D237" s="2596"/>
      <c r="E237" s="639"/>
      <c r="F237" s="639">
        <v>0</v>
      </c>
      <c r="G237" s="639"/>
      <c r="H237" s="639"/>
      <c r="I237" s="639"/>
      <c r="J237" s="639"/>
      <c r="K237" s="639"/>
      <c r="L237" s="639"/>
      <c r="M237" s="639"/>
      <c r="N237" s="639"/>
      <c r="O237" s="639"/>
      <c r="P237" s="639"/>
      <c r="Q237" s="639"/>
      <c r="R237" s="639"/>
      <c r="S237" s="640"/>
      <c r="T237" s="722"/>
      <c r="U237" s="2391"/>
      <c r="V237" s="2391"/>
      <c r="W237" s="1640"/>
      <c r="X237" s="1640"/>
      <c r="Y237" s="1640"/>
      <c r="Z237" s="1640"/>
      <c r="AA237" s="1640"/>
      <c r="AB237" s="1164"/>
      <c r="AC237" s="1799"/>
      <c r="AD237" s="633"/>
      <c r="AE237" s="1164"/>
      <c r="AF237" s="1164"/>
      <c r="AG237" s="1640"/>
      <c r="AH237" s="1640"/>
      <c r="AI237" s="1640"/>
      <c r="AJ237" s="1640"/>
      <c r="AK237" s="1640"/>
      <c r="AL237" s="1640"/>
      <c r="AM237" s="1640"/>
      <c r="AN237" s="1640"/>
      <c r="AO237" s="1640"/>
      <c r="AP237" s="1640"/>
      <c r="AQ237" s="1640"/>
      <c r="AR237" s="1640"/>
      <c r="AS237" s="1640"/>
      <c r="AT237" s="1640"/>
      <c r="AU237" s="1640"/>
      <c r="AV237" s="1640"/>
      <c r="AW237" s="1640"/>
      <c r="AX237" s="1640"/>
      <c r="AY237" s="1640"/>
      <c r="AZ237" s="1640"/>
      <c r="BA237" s="1640"/>
      <c r="BB237" s="1640"/>
      <c r="BC237" s="1640"/>
      <c r="BD237" s="1640"/>
      <c r="BE237" s="1640"/>
      <c r="BF237" s="1640"/>
      <c r="BG237" s="1640"/>
      <c r="BH237" s="1640"/>
      <c r="BI237" s="1640"/>
      <c r="BJ237" s="1640"/>
      <c r="BK237" s="1640"/>
      <c r="BL237" s="1640"/>
      <c r="BM237" s="1640"/>
      <c r="BN237" s="1640"/>
      <c r="BO237" s="1640"/>
      <c r="BP237" s="1640"/>
      <c r="BQ237" s="1640"/>
      <c r="BR237" s="1640"/>
      <c r="BS237" s="1640"/>
      <c r="BT237" s="1640"/>
      <c r="BU237" s="1640"/>
      <c r="BV237" s="1640"/>
      <c r="BW237" s="1640"/>
      <c r="BX237" s="1640"/>
      <c r="BY237" s="1640"/>
      <c r="BZ237" s="1640"/>
      <c r="CA237" s="1640"/>
      <c r="CB237" s="1640"/>
      <c r="CC237" s="1640"/>
      <c r="CD237" s="1640"/>
      <c r="CE237" s="1640"/>
      <c r="CF237" s="1851"/>
    </row>
    <row customHeight="1" ht="11.25" hidden="1">
      <c r="A238" s="1809"/>
      <c r="B238" s="1164"/>
      <c r="C238" s="416"/>
      <c r="D238" s="2597"/>
      <c r="E238" s="653" t="s">
        <v>22</v>
      </c>
      <c r="F238" s="1172" t="s">
        <v>22</v>
      </c>
      <c r="G238" s="1172" t="s">
        <v>760</v>
      </c>
      <c r="H238" s="655" t="s">
        <v>22</v>
      </c>
      <c r="I238" s="655"/>
      <c r="J238" s="655"/>
      <c r="K238" s="655"/>
      <c r="L238" s="655"/>
      <c r="M238" s="655"/>
      <c r="N238" s="655"/>
      <c r="O238" s="655"/>
      <c r="P238" s="655"/>
      <c r="Q238" s="655"/>
      <c r="R238" s="656"/>
      <c r="S238" s="657"/>
      <c r="T238" s="722"/>
      <c r="U238" s="2391"/>
      <c r="V238" s="2391"/>
      <c r="W238" s="1164"/>
      <c r="X238" s="1164"/>
      <c r="Y238" s="1164"/>
      <c r="Z238" s="1164"/>
      <c r="AA238" s="1640"/>
      <c r="AB238" s="1164"/>
      <c r="AC238" s="1799"/>
      <c r="AD238" s="633"/>
      <c r="AE238" s="1164"/>
      <c r="AF238" s="1164"/>
      <c r="AG238" s="1640"/>
      <c r="AH238" s="1640"/>
      <c r="AI238" s="1640"/>
      <c r="AJ238" s="1640"/>
      <c r="AK238" s="1640"/>
      <c r="AL238" s="1640"/>
      <c r="AM238" s="1640"/>
      <c r="AN238" s="1640"/>
      <c r="AO238" s="1640"/>
      <c r="AP238" s="1640"/>
      <c r="AQ238" s="1640"/>
      <c r="AR238" s="1640"/>
      <c r="AS238" s="1640"/>
      <c r="AT238" s="1640"/>
      <c r="AU238" s="1640"/>
      <c r="AV238" s="1640"/>
      <c r="AW238" s="1640"/>
      <c r="AX238" s="1640"/>
      <c r="AY238" s="1640"/>
      <c r="AZ238" s="1640"/>
      <c r="BA238" s="1640"/>
      <c r="BB238" s="1640"/>
      <c r="BC238" s="1640"/>
      <c r="BD238" s="1640"/>
      <c r="BE238" s="1640"/>
      <c r="BF238" s="1640"/>
      <c r="BG238" s="1640"/>
      <c r="BH238" s="1640"/>
      <c r="BI238" s="1640"/>
      <c r="BJ238" s="1640"/>
      <c r="BK238" s="1640"/>
      <c r="BL238" s="1640"/>
      <c r="BM238" s="1640"/>
      <c r="BN238" s="1640"/>
      <c r="BO238" s="1640"/>
      <c r="BP238" s="1640"/>
      <c r="BQ238" s="1640"/>
      <c r="BR238" s="1640"/>
      <c r="BS238" s="1640"/>
      <c r="BT238" s="1640"/>
      <c r="BU238" s="1640"/>
      <c r="BV238" s="1164"/>
      <c r="BW238" s="1164"/>
      <c r="BX238" s="1164"/>
      <c r="BY238" s="1164"/>
      <c r="BZ238" s="1164"/>
      <c r="CA238" s="1164"/>
      <c r="CB238" s="1164"/>
      <c r="CC238" s="1164"/>
      <c r="CD238" s="1164"/>
      <c r="CE238" s="1164"/>
      <c r="CF238" s="1851"/>
    </row>
    <row customHeight="1" ht="15" hidden="1">
      <c r="A239" s="627" t="s">
        <v>221</v>
      </c>
      <c r="B239" s="628"/>
      <c r="C239" s="628" t="s">
        <v>22</v>
      </c>
      <c r="D239" s="2595" t="s">
        <v>784</v>
      </c>
      <c r="E239" s="2394" t="s">
        <v>173</v>
      </c>
      <c r="F239" s="2395"/>
      <c r="G239" s="2396"/>
      <c r="H239" s="2400" t="str">
        <f>IF(A239="","",INDEX(DIFFERENTIATION_UNMERGE_VD,MATCH(A239,DIFFERENTIATION_ID_DIFF,0)))</f>
        <v>Холодное водоснабжение. Питьевая вода</v>
      </c>
      <c r="I239" s="2400"/>
      <c r="J239" s="2400"/>
      <c r="K239" s="2400"/>
      <c r="L239" s="2400"/>
      <c r="M239" s="2400"/>
      <c r="N239" s="2400"/>
      <c r="O239" s="2400"/>
      <c r="P239" s="2400"/>
      <c r="Q239" s="2400"/>
      <c r="R239" s="2400"/>
      <c r="S239" s="723"/>
      <c r="T239" s="720"/>
      <c r="U239" s="629"/>
      <c r="V239" s="629"/>
      <c r="W239" s="630"/>
      <c r="X239" s="630"/>
      <c r="Y239" s="630"/>
      <c r="Z239" s="630"/>
      <c r="AA239" s="631"/>
      <c r="AB239" s="632"/>
      <c r="AC239" s="2392"/>
      <c r="AD239" s="633"/>
      <c r="AE239" s="634" t="s">
        <v>22</v>
      </c>
      <c r="AF239" s="634"/>
      <c r="AG239" s="635" t="s">
        <v>754</v>
      </c>
      <c r="AH239" s="636">
        <v>3</v>
      </c>
      <c r="AI239" s="629"/>
      <c r="AJ239" s="629"/>
      <c r="AK239" s="629"/>
      <c r="AL239" s="629"/>
      <c r="AM239" s="629"/>
      <c r="AN239" s="629"/>
      <c r="AO239" s="629"/>
      <c r="AP239" s="629"/>
      <c r="AQ239" s="629"/>
      <c r="AR239" s="629"/>
      <c r="AS239" s="629"/>
      <c r="AT239" s="629"/>
      <c r="AU239" s="629"/>
      <c r="AV239" s="629"/>
      <c r="AW239" s="629"/>
      <c r="AX239" s="629"/>
      <c r="AY239" s="629"/>
      <c r="AZ239" s="629"/>
      <c r="BA239" s="629"/>
      <c r="BB239" s="629"/>
      <c r="BC239" s="629"/>
      <c r="BD239" s="629"/>
      <c r="BE239" s="629"/>
      <c r="BF239" s="629"/>
      <c r="BG239" s="629"/>
      <c r="BH239" s="629"/>
      <c r="BI239" s="629"/>
      <c r="BJ239" s="629"/>
      <c r="BK239" s="629"/>
      <c r="BL239" s="629"/>
      <c r="BM239" s="629"/>
      <c r="BN239" s="629"/>
      <c r="BO239" s="629"/>
      <c r="BP239" s="629"/>
      <c r="BQ239" s="629"/>
      <c r="BR239" s="629"/>
      <c r="BS239" s="629"/>
      <c r="BT239" s="629"/>
      <c r="BU239" s="629"/>
      <c r="BV239" s="630"/>
      <c r="BW239" s="630"/>
      <c r="BX239" s="630"/>
      <c r="BY239" s="630"/>
      <c r="BZ239" s="630"/>
      <c r="CA239" s="630"/>
      <c r="CB239" s="630"/>
      <c r="CC239" s="630"/>
      <c r="CD239" s="630"/>
      <c r="CE239" s="630"/>
      <c r="CF239" s="1851"/>
    </row>
    <row customHeight="1" ht="15" hidden="1">
      <c r="A240" s="627"/>
      <c r="B240" s="628"/>
      <c r="C240" s="628"/>
      <c r="D240" s="2596"/>
      <c r="E240" s="2394" t="s">
        <v>702</v>
      </c>
      <c r="F240" s="2395"/>
      <c r="G240" s="2396"/>
      <c r="H240" s="2400" t="str">
        <f>IF(A239="","",INDEX(DIFFERENTIATION_UNMERGE_AREA,MATCH(A239,DIFFERENTIATION_ID_DIFF,0)))</f>
        <v>Территория 8</v>
      </c>
      <c r="I240" s="2400"/>
      <c r="J240" s="2400"/>
      <c r="K240" s="2400"/>
      <c r="L240" s="2400"/>
      <c r="M240" s="2400"/>
      <c r="N240" s="2400"/>
      <c r="O240" s="2400"/>
      <c r="P240" s="2400"/>
      <c r="Q240" s="2400"/>
      <c r="R240" s="2400"/>
      <c r="S240" s="723"/>
      <c r="T240" s="720"/>
      <c r="U240" s="629"/>
      <c r="V240" s="629"/>
      <c r="W240" s="630"/>
      <c r="X240" s="630"/>
      <c r="Y240" s="630"/>
      <c r="Z240" s="630"/>
      <c r="AA240" s="631"/>
      <c r="AB240" s="632"/>
      <c r="AC240" s="2392"/>
      <c r="AD240" s="633"/>
      <c r="AE240" s="634"/>
      <c r="AF240" s="634"/>
      <c r="AG240" s="635"/>
      <c r="AH240" s="636"/>
      <c r="AI240" s="629"/>
      <c r="AJ240" s="629"/>
      <c r="AK240" s="629"/>
      <c r="AL240" s="629"/>
      <c r="AM240" s="629"/>
      <c r="AN240" s="629"/>
      <c r="AO240" s="629"/>
      <c r="AP240" s="629"/>
      <c r="AQ240" s="629"/>
      <c r="AR240" s="629"/>
      <c r="AS240" s="629"/>
      <c r="AT240" s="629"/>
      <c r="AU240" s="629"/>
      <c r="AV240" s="629"/>
      <c r="AW240" s="629"/>
      <c r="AX240" s="629"/>
      <c r="AY240" s="629"/>
      <c r="AZ240" s="629"/>
      <c r="BA240" s="629"/>
      <c r="BB240" s="629"/>
      <c r="BC240" s="629"/>
      <c r="BD240" s="629"/>
      <c r="BE240" s="629"/>
      <c r="BF240" s="629"/>
      <c r="BG240" s="629"/>
      <c r="BH240" s="629"/>
      <c r="BI240" s="629"/>
      <c r="BJ240" s="629"/>
      <c r="BK240" s="629"/>
      <c r="BL240" s="629"/>
      <c r="BM240" s="629"/>
      <c r="BN240" s="629"/>
      <c r="BO240" s="629"/>
      <c r="BP240" s="629"/>
      <c r="BQ240" s="629"/>
      <c r="BR240" s="629"/>
      <c r="BS240" s="629"/>
      <c r="BT240" s="629"/>
      <c r="BU240" s="629"/>
      <c r="BV240" s="630"/>
      <c r="BW240" s="630"/>
      <c r="BX240" s="630"/>
      <c r="BY240" s="630"/>
      <c r="BZ240" s="630"/>
      <c r="CA240" s="630"/>
      <c r="CB240" s="630"/>
      <c r="CC240" s="630"/>
      <c r="CD240" s="630"/>
      <c r="CE240" s="630"/>
      <c r="CF240" s="1851"/>
    </row>
    <row customHeight="1" ht="15" hidden="1">
      <c r="A241" s="627"/>
      <c r="B241" s="628"/>
      <c r="C241" s="628"/>
      <c r="D241" s="2596"/>
      <c r="E241" s="2394" t="s">
        <v>703</v>
      </c>
      <c r="F241" s="2395"/>
      <c r="G241" s="2396"/>
      <c r="H241" s="2400" t="str">
        <f>IF(A239="","",INDEX(DIFFERENTIATION_UNMERGE_SYSTEM,MATCH(A239,DIFFERENTIATION_ID_DIFF,0)))</f>
        <v>Централизованная система водоснабжения Снегуровского сельского поселения </v>
      </c>
      <c r="I241" s="2400"/>
      <c r="J241" s="2400"/>
      <c r="K241" s="2400"/>
      <c r="L241" s="2400"/>
      <c r="M241" s="2400"/>
      <c r="N241" s="2400"/>
      <c r="O241" s="2400"/>
      <c r="P241" s="2400"/>
      <c r="Q241" s="2400"/>
      <c r="R241" s="2400"/>
      <c r="S241" s="723"/>
      <c r="T241" s="720"/>
      <c r="U241" s="629"/>
      <c r="V241" s="629"/>
      <c r="W241" s="630"/>
      <c r="X241" s="630"/>
      <c r="Y241" s="630"/>
      <c r="Z241" s="630"/>
      <c r="AA241" s="631"/>
      <c r="AB241" s="632"/>
      <c r="AC241" s="2392"/>
      <c r="AD241" s="633"/>
      <c r="AE241" s="634"/>
      <c r="AF241" s="634"/>
      <c r="AG241" s="635"/>
      <c r="AH241" s="636"/>
      <c r="AI241" s="629"/>
      <c r="AJ241" s="629"/>
      <c r="AK241" s="629"/>
      <c r="AL241" s="629"/>
      <c r="AM241" s="629"/>
      <c r="AN241" s="629"/>
      <c r="AO241" s="629"/>
      <c r="AP241" s="629"/>
      <c r="AQ241" s="629"/>
      <c r="AR241" s="629"/>
      <c r="AS241" s="629"/>
      <c r="AT241" s="629"/>
      <c r="AU241" s="629"/>
      <c r="AV241" s="629"/>
      <c r="AW241" s="629"/>
      <c r="AX241" s="629"/>
      <c r="AY241" s="629"/>
      <c r="AZ241" s="629"/>
      <c r="BA241" s="629"/>
      <c r="BB241" s="629"/>
      <c r="BC241" s="629"/>
      <c r="BD241" s="629"/>
      <c r="BE241" s="629"/>
      <c r="BF241" s="629"/>
      <c r="BG241" s="629"/>
      <c r="BH241" s="629"/>
      <c r="BI241" s="629"/>
      <c r="BJ241" s="629"/>
      <c r="BK241" s="629"/>
      <c r="BL241" s="629"/>
      <c r="BM241" s="629"/>
      <c r="BN241" s="629"/>
      <c r="BO241" s="629"/>
      <c r="BP241" s="629"/>
      <c r="BQ241" s="629"/>
      <c r="BR241" s="629"/>
      <c r="BS241" s="629"/>
      <c r="BT241" s="629"/>
      <c r="BU241" s="629"/>
      <c r="BV241" s="630"/>
      <c r="BW241" s="630"/>
      <c r="BX241" s="630"/>
      <c r="BY241" s="630"/>
      <c r="BZ241" s="630"/>
      <c r="CA241" s="630"/>
      <c r="CB241" s="630"/>
      <c r="CC241" s="630"/>
      <c r="CD241" s="630"/>
      <c r="CE241" s="630"/>
      <c r="CF241" s="1851"/>
    </row>
    <row customHeight="1" ht="24.75" hidden="1">
      <c r="A242" s="1809"/>
      <c r="B242" s="1164"/>
      <c r="C242" s="416"/>
      <c r="D242" s="2596"/>
      <c r="E242" s="2393" t="s">
        <v>755</v>
      </c>
      <c r="F242" s="2393"/>
      <c r="G242" s="2393"/>
      <c r="H242" s="2393"/>
      <c r="I242" s="2393"/>
      <c r="J242" s="2393"/>
      <c r="K242" s="2393"/>
      <c r="L242" s="2393"/>
      <c r="M242" s="2393"/>
      <c r="N242" s="2393"/>
      <c r="O242" s="2393"/>
      <c r="P242" s="2393"/>
      <c r="Q242" s="562">
        <f>SUMIF(T243:T244,"i",Q243:Q244)</f>
        <v>0</v>
      </c>
      <c r="R242" s="1021"/>
      <c r="S242" s="1801" t="s">
        <v>756</v>
      </c>
      <c r="T242" s="721" t="s">
        <v>757</v>
      </c>
      <c r="U242" s="2391">
        <v>1</v>
      </c>
      <c r="V242" s="2391" t="str">
        <f>INDEX(B_FHD_FLAG_INDEX_1,1,MATCH(A239,B_FHD_FLAG_DIFFERENTIATION,0))</f>
        <v>отсутствует</v>
      </c>
      <c r="W242" s="1164"/>
      <c r="X242" s="1164"/>
      <c r="Y242" s="1164"/>
      <c r="Z242" s="1164"/>
      <c r="AA242" s="1640"/>
      <c r="AB242" s="1164"/>
      <c r="AC242" s="2392"/>
      <c r="AD242" s="633"/>
      <c r="AE242" s="1164"/>
      <c r="AF242" s="1164"/>
      <c r="AG242" s="1640"/>
      <c r="AH242" s="1640"/>
      <c r="AI242" s="1640"/>
      <c r="AJ242" s="1640"/>
      <c r="AK242" s="1640"/>
      <c r="AL242" s="1640"/>
      <c r="AM242" s="1640"/>
      <c r="AN242" s="1640"/>
      <c r="AO242" s="1640"/>
      <c r="AP242" s="1640"/>
      <c r="AQ242" s="1640"/>
      <c r="AR242" s="1640"/>
      <c r="AS242" s="1640"/>
      <c r="AT242" s="1640"/>
      <c r="AU242" s="1640"/>
      <c r="AV242" s="1640"/>
      <c r="AW242" s="1640"/>
      <c r="AX242" s="1640"/>
      <c r="AY242" s="1640"/>
      <c r="AZ242" s="1640"/>
      <c r="BA242" s="1640"/>
      <c r="BB242" s="1640"/>
      <c r="BC242" s="1640"/>
      <c r="BD242" s="1640"/>
      <c r="BE242" s="1640"/>
      <c r="BF242" s="1640"/>
      <c r="BG242" s="1640"/>
      <c r="BH242" s="1640"/>
      <c r="BI242" s="1640"/>
      <c r="BJ242" s="1640"/>
      <c r="BK242" s="1640"/>
      <c r="BL242" s="1640"/>
      <c r="BM242" s="1640"/>
      <c r="BN242" s="1640"/>
      <c r="BO242" s="1640"/>
      <c r="BP242" s="1640"/>
      <c r="BQ242" s="1640"/>
      <c r="BR242" s="1640"/>
      <c r="BS242" s="1640"/>
      <c r="BT242" s="1640"/>
      <c r="BU242" s="1640"/>
      <c r="BV242" s="1164"/>
      <c r="BW242" s="1164"/>
      <c r="BX242" s="1164"/>
      <c r="BY242" s="1164"/>
      <c r="BZ242" s="1164"/>
      <c r="CA242" s="1164"/>
      <c r="CB242" s="1164"/>
      <c r="CC242" s="1164"/>
      <c r="CD242" s="1164"/>
      <c r="CE242" s="1164"/>
      <c r="CF242" s="1851"/>
    </row>
    <row customHeight="1" ht="11.25" hidden="1">
      <c r="A243" s="1796"/>
      <c r="B243" s="1640"/>
      <c r="C243" s="1640"/>
      <c r="D243" s="2596"/>
      <c r="E243" s="639"/>
      <c r="F243" s="639">
        <v>0</v>
      </c>
      <c r="G243" s="639"/>
      <c r="H243" s="639"/>
      <c r="I243" s="639"/>
      <c r="J243" s="639"/>
      <c r="K243" s="639"/>
      <c r="L243" s="639"/>
      <c r="M243" s="639"/>
      <c r="N243" s="639"/>
      <c r="O243" s="639"/>
      <c r="P243" s="639"/>
      <c r="Q243" s="639"/>
      <c r="R243" s="639"/>
      <c r="S243" s="640"/>
      <c r="T243" s="722"/>
      <c r="U243" s="2391"/>
      <c r="V243" s="2391"/>
      <c r="W243" s="1640"/>
      <c r="X243" s="1640"/>
      <c r="Y243" s="1640"/>
      <c r="Z243" s="1640"/>
      <c r="AA243" s="1640"/>
      <c r="AB243" s="1164"/>
      <c r="AC243" s="2392"/>
      <c r="AD243" s="633"/>
      <c r="AE243" s="1164"/>
      <c r="AF243" s="1164"/>
      <c r="AG243" s="1640"/>
      <c r="AH243" s="1640"/>
      <c r="AI243" s="1640"/>
      <c r="AJ243" s="1640"/>
      <c r="AK243" s="1640"/>
      <c r="AL243" s="1640"/>
      <c r="AM243" s="1640"/>
      <c r="AN243" s="1640"/>
      <c r="AO243" s="1640"/>
      <c r="AP243" s="1640"/>
      <c r="AQ243" s="1640"/>
      <c r="AR243" s="1640"/>
      <c r="AS243" s="1640"/>
      <c r="AT243" s="1640"/>
      <c r="AU243" s="1640"/>
      <c r="AV243" s="1640"/>
      <c r="AW243" s="1640"/>
      <c r="AX243" s="1640"/>
      <c r="AY243" s="1640"/>
      <c r="AZ243" s="1640"/>
      <c r="BA243" s="1640"/>
      <c r="BB243" s="1640"/>
      <c r="BC243" s="1640"/>
      <c r="BD243" s="1640"/>
      <c r="BE243" s="1640"/>
      <c r="BF243" s="1640"/>
      <c r="BG243" s="1640"/>
      <c r="BH243" s="1640"/>
      <c r="BI243" s="1640"/>
      <c r="BJ243" s="1640"/>
      <c r="BK243" s="1640"/>
      <c r="BL243" s="1640"/>
      <c r="BM243" s="1640"/>
      <c r="BN243" s="1640"/>
      <c r="BO243" s="1640"/>
      <c r="BP243" s="1640"/>
      <c r="BQ243" s="1640"/>
      <c r="BR243" s="1640"/>
      <c r="BS243" s="1640"/>
      <c r="BT243" s="1640"/>
      <c r="BU243" s="1640"/>
      <c r="BV243" s="1640"/>
      <c r="BW243" s="1640"/>
      <c r="BX243" s="1640"/>
      <c r="BY243" s="1640"/>
      <c r="BZ243" s="1640"/>
      <c r="CA243" s="1640"/>
      <c r="CB243" s="1640"/>
      <c r="CC243" s="1640"/>
      <c r="CD243" s="1640"/>
      <c r="CE243" s="1640"/>
      <c r="CF243" s="1851"/>
    </row>
    <row customHeight="1" ht="11.25" hidden="1">
      <c r="A244" s="1809"/>
      <c r="B244" s="1164"/>
      <c r="C244" s="416"/>
      <c r="D244" s="2596"/>
      <c r="E244" s="653" t="s">
        <v>22</v>
      </c>
      <c r="F244" s="1172" t="s">
        <v>22</v>
      </c>
      <c r="G244" s="1172" t="s">
        <v>760</v>
      </c>
      <c r="H244" s="655" t="s">
        <v>22</v>
      </c>
      <c r="I244" s="655"/>
      <c r="J244" s="655"/>
      <c r="K244" s="655"/>
      <c r="L244" s="655"/>
      <c r="M244" s="655"/>
      <c r="N244" s="655"/>
      <c r="O244" s="655"/>
      <c r="P244" s="655"/>
      <c r="Q244" s="655"/>
      <c r="R244" s="656"/>
      <c r="S244" s="657"/>
      <c r="T244" s="722"/>
      <c r="U244" s="2391"/>
      <c r="V244" s="2391"/>
      <c r="W244" s="1164"/>
      <c r="X244" s="1164"/>
      <c r="Y244" s="1164"/>
      <c r="Z244" s="1164"/>
      <c r="AA244" s="1640"/>
      <c r="AB244" s="1164"/>
      <c r="AC244" s="2392"/>
      <c r="AD244" s="633"/>
      <c r="AE244" s="1164"/>
      <c r="AF244" s="1164"/>
      <c r="AG244" s="1640"/>
      <c r="AH244" s="1640"/>
      <c r="AI244" s="1640"/>
      <c r="AJ244" s="1640"/>
      <c r="AK244" s="1640"/>
      <c r="AL244" s="1640"/>
      <c r="AM244" s="1640"/>
      <c r="AN244" s="1640"/>
      <c r="AO244" s="1640"/>
      <c r="AP244" s="1640"/>
      <c r="AQ244" s="1640"/>
      <c r="AR244" s="1640"/>
      <c r="AS244" s="1640"/>
      <c r="AT244" s="1640"/>
      <c r="AU244" s="1640"/>
      <c r="AV244" s="1640"/>
      <c r="AW244" s="1640"/>
      <c r="AX244" s="1640"/>
      <c r="AY244" s="1640"/>
      <c r="AZ244" s="1640"/>
      <c r="BA244" s="1640"/>
      <c r="BB244" s="1640"/>
      <c r="BC244" s="1640"/>
      <c r="BD244" s="1640"/>
      <c r="BE244" s="1640"/>
      <c r="BF244" s="1640"/>
      <c r="BG244" s="1640"/>
      <c r="BH244" s="1640"/>
      <c r="BI244" s="1640"/>
      <c r="BJ244" s="1640"/>
      <c r="BK244" s="1640"/>
      <c r="BL244" s="1640"/>
      <c r="BM244" s="1640"/>
      <c r="BN244" s="1640"/>
      <c r="BO244" s="1640"/>
      <c r="BP244" s="1640"/>
      <c r="BQ244" s="1640"/>
      <c r="BR244" s="1640"/>
      <c r="BS244" s="1640"/>
      <c r="BT244" s="1640"/>
      <c r="BU244" s="1640"/>
      <c r="BV244" s="1164"/>
      <c r="BW244" s="1164"/>
      <c r="BX244" s="1164"/>
      <c r="BY244" s="1164"/>
      <c r="BZ244" s="1164"/>
      <c r="CA244" s="1164"/>
      <c r="CB244" s="1164"/>
      <c r="CC244" s="1164"/>
      <c r="CD244" s="1164"/>
      <c r="CE244" s="1164"/>
      <c r="CF244" s="1851"/>
    </row>
    <row customHeight="1" ht="24.75" hidden="1">
      <c r="A245" s="1809"/>
      <c r="B245" s="1164"/>
      <c r="C245" s="416"/>
      <c r="D245" s="2596"/>
      <c r="E245" s="2393" t="s">
        <v>758</v>
      </c>
      <c r="F245" s="2393"/>
      <c r="G245" s="2393"/>
      <c r="H245" s="2393"/>
      <c r="I245" s="2393"/>
      <c r="J245" s="2393"/>
      <c r="K245" s="2393"/>
      <c r="L245" s="2393"/>
      <c r="M245" s="2393"/>
      <c r="N245" s="2393"/>
      <c r="O245" s="2393"/>
      <c r="P245" s="2393"/>
      <c r="Q245" s="562">
        <f>SUMIF(T246:T247,"i",Q246:Q247)</f>
        <v>0</v>
      </c>
      <c r="R245" s="1021"/>
      <c r="S245" s="1801" t="s">
        <v>759</v>
      </c>
      <c r="T245" s="721" t="s">
        <v>757</v>
      </c>
      <c r="U245" s="2391">
        <v>1</v>
      </c>
      <c r="V245" s="2391" t="str">
        <f>INDEX(B_FHD_FLAG_INDEX_2,1,MATCH(A239,B_FHD_FLAG_DIFFERENTIATION,0))</f>
        <v>отсутствует</v>
      </c>
      <c r="W245" s="1164"/>
      <c r="X245" s="1164"/>
      <c r="Y245" s="1164"/>
      <c r="Z245" s="1164"/>
      <c r="AA245" s="1640"/>
      <c r="AB245" s="1164"/>
      <c r="AC245" s="1799"/>
      <c r="AD245" s="633"/>
      <c r="AE245" s="1164"/>
      <c r="AF245" s="1164"/>
      <c r="AG245" s="1640"/>
      <c r="AH245" s="1640"/>
      <c r="AI245" s="1640"/>
      <c r="AJ245" s="1640"/>
      <c r="AK245" s="1640"/>
      <c r="AL245" s="1640"/>
      <c r="AM245" s="1640"/>
      <c r="AN245" s="1640"/>
      <c r="AO245" s="1640"/>
      <c r="AP245" s="1640"/>
      <c r="AQ245" s="1640"/>
      <c r="AR245" s="1640"/>
      <c r="AS245" s="1640"/>
      <c r="AT245" s="1640"/>
      <c r="AU245" s="1640"/>
      <c r="AV245" s="1640"/>
      <c r="AW245" s="1640"/>
      <c r="AX245" s="1640"/>
      <c r="AY245" s="1640"/>
      <c r="AZ245" s="1640"/>
      <c r="BA245" s="1640"/>
      <c r="BB245" s="1640"/>
      <c r="BC245" s="1640"/>
      <c r="BD245" s="1640"/>
      <c r="BE245" s="1640"/>
      <c r="BF245" s="1640"/>
      <c r="BG245" s="1640"/>
      <c r="BH245" s="1640"/>
      <c r="BI245" s="1640"/>
      <c r="BJ245" s="1640"/>
      <c r="BK245" s="1640"/>
      <c r="BL245" s="1640"/>
      <c r="BM245" s="1640"/>
      <c r="BN245" s="1640"/>
      <c r="BO245" s="1640"/>
      <c r="BP245" s="1640"/>
      <c r="BQ245" s="1640"/>
      <c r="BR245" s="1640"/>
      <c r="BS245" s="1640"/>
      <c r="BT245" s="1640"/>
      <c r="BU245" s="1640"/>
      <c r="BV245" s="1164"/>
      <c r="BW245" s="1164"/>
      <c r="BX245" s="1164"/>
      <c r="BY245" s="1164"/>
      <c r="BZ245" s="1164"/>
      <c r="CA245" s="1164"/>
      <c r="CB245" s="1164"/>
      <c r="CC245" s="1164"/>
      <c r="CD245" s="1164"/>
      <c r="CE245" s="1164"/>
      <c r="CF245" s="1851"/>
    </row>
    <row customHeight="1" ht="11.25" hidden="1">
      <c r="A246" s="1796"/>
      <c r="B246" s="1640"/>
      <c r="C246" s="1640"/>
      <c r="D246" s="2596"/>
      <c r="E246" s="639"/>
      <c r="F246" s="639">
        <v>0</v>
      </c>
      <c r="G246" s="639"/>
      <c r="H246" s="639"/>
      <c r="I246" s="639"/>
      <c r="J246" s="639"/>
      <c r="K246" s="639"/>
      <c r="L246" s="639"/>
      <c r="M246" s="639"/>
      <c r="N246" s="639"/>
      <c r="O246" s="639"/>
      <c r="P246" s="639"/>
      <c r="Q246" s="639"/>
      <c r="R246" s="639"/>
      <c r="S246" s="640"/>
      <c r="T246" s="722"/>
      <c r="U246" s="2391"/>
      <c r="V246" s="2391"/>
      <c r="W246" s="1640"/>
      <c r="X246" s="1640"/>
      <c r="Y246" s="1640"/>
      <c r="Z246" s="1640"/>
      <c r="AA246" s="1640"/>
      <c r="AB246" s="1164"/>
      <c r="AC246" s="1799"/>
      <c r="AD246" s="633"/>
      <c r="AE246" s="1164"/>
      <c r="AF246" s="1164"/>
      <c r="AG246" s="1640"/>
      <c r="AH246" s="1640"/>
      <c r="AI246" s="1640"/>
      <c r="AJ246" s="1640"/>
      <c r="AK246" s="1640"/>
      <c r="AL246" s="1640"/>
      <c r="AM246" s="1640"/>
      <c r="AN246" s="1640"/>
      <c r="AO246" s="1640"/>
      <c r="AP246" s="1640"/>
      <c r="AQ246" s="1640"/>
      <c r="AR246" s="1640"/>
      <c r="AS246" s="1640"/>
      <c r="AT246" s="1640"/>
      <c r="AU246" s="1640"/>
      <c r="AV246" s="1640"/>
      <c r="AW246" s="1640"/>
      <c r="AX246" s="1640"/>
      <c r="AY246" s="1640"/>
      <c r="AZ246" s="1640"/>
      <c r="BA246" s="1640"/>
      <c r="BB246" s="1640"/>
      <c r="BC246" s="1640"/>
      <c r="BD246" s="1640"/>
      <c r="BE246" s="1640"/>
      <c r="BF246" s="1640"/>
      <c r="BG246" s="1640"/>
      <c r="BH246" s="1640"/>
      <c r="BI246" s="1640"/>
      <c r="BJ246" s="1640"/>
      <c r="BK246" s="1640"/>
      <c r="BL246" s="1640"/>
      <c r="BM246" s="1640"/>
      <c r="BN246" s="1640"/>
      <c r="BO246" s="1640"/>
      <c r="BP246" s="1640"/>
      <c r="BQ246" s="1640"/>
      <c r="BR246" s="1640"/>
      <c r="BS246" s="1640"/>
      <c r="BT246" s="1640"/>
      <c r="BU246" s="1640"/>
      <c r="BV246" s="1640"/>
      <c r="BW246" s="1640"/>
      <c r="BX246" s="1640"/>
      <c r="BY246" s="1640"/>
      <c r="BZ246" s="1640"/>
      <c r="CA246" s="1640"/>
      <c r="CB246" s="1640"/>
      <c r="CC246" s="1640"/>
      <c r="CD246" s="1640"/>
      <c r="CE246" s="1640"/>
      <c r="CF246" s="1851"/>
    </row>
    <row customHeight="1" ht="11.25" hidden="1">
      <c r="A247" s="1809"/>
      <c r="B247" s="1164"/>
      <c r="C247" s="416"/>
      <c r="D247" s="2597"/>
      <c r="E247" s="653" t="s">
        <v>22</v>
      </c>
      <c r="F247" s="1172" t="s">
        <v>22</v>
      </c>
      <c r="G247" s="1172" t="s">
        <v>760</v>
      </c>
      <c r="H247" s="655" t="s">
        <v>22</v>
      </c>
      <c r="I247" s="655"/>
      <c r="J247" s="655"/>
      <c r="K247" s="655"/>
      <c r="L247" s="655"/>
      <c r="M247" s="655"/>
      <c r="N247" s="655"/>
      <c r="O247" s="655"/>
      <c r="P247" s="655"/>
      <c r="Q247" s="655"/>
      <c r="R247" s="656"/>
      <c r="S247" s="657"/>
      <c r="T247" s="722"/>
      <c r="U247" s="2391"/>
      <c r="V247" s="2391"/>
      <c r="W247" s="1164"/>
      <c r="X247" s="1164"/>
      <c r="Y247" s="1164"/>
      <c r="Z247" s="1164"/>
      <c r="AA247" s="1640"/>
      <c r="AB247" s="1164"/>
      <c r="AC247" s="1799"/>
      <c r="AD247" s="633"/>
      <c r="AE247" s="1164"/>
      <c r="AF247" s="1164"/>
      <c r="AG247" s="1640"/>
      <c r="AH247" s="1640"/>
      <c r="AI247" s="1640"/>
      <c r="AJ247" s="1640"/>
      <c r="AK247" s="1640"/>
      <c r="AL247" s="1640"/>
      <c r="AM247" s="1640"/>
      <c r="AN247" s="1640"/>
      <c r="AO247" s="1640"/>
      <c r="AP247" s="1640"/>
      <c r="AQ247" s="1640"/>
      <c r="AR247" s="1640"/>
      <c r="AS247" s="1640"/>
      <c r="AT247" s="1640"/>
      <c r="AU247" s="1640"/>
      <c r="AV247" s="1640"/>
      <c r="AW247" s="1640"/>
      <c r="AX247" s="1640"/>
      <c r="AY247" s="1640"/>
      <c r="AZ247" s="1640"/>
      <c r="BA247" s="1640"/>
      <c r="BB247" s="1640"/>
      <c r="BC247" s="1640"/>
      <c r="BD247" s="1640"/>
      <c r="BE247" s="1640"/>
      <c r="BF247" s="1640"/>
      <c r="BG247" s="1640"/>
      <c r="BH247" s="1640"/>
      <c r="BI247" s="1640"/>
      <c r="BJ247" s="1640"/>
      <c r="BK247" s="1640"/>
      <c r="BL247" s="1640"/>
      <c r="BM247" s="1640"/>
      <c r="BN247" s="1640"/>
      <c r="BO247" s="1640"/>
      <c r="BP247" s="1640"/>
      <c r="BQ247" s="1640"/>
      <c r="BR247" s="1640"/>
      <c r="BS247" s="1640"/>
      <c r="BT247" s="1640"/>
      <c r="BU247" s="1640"/>
      <c r="BV247" s="1164"/>
      <c r="BW247" s="1164"/>
      <c r="BX247" s="1164"/>
      <c r="BY247" s="1164"/>
      <c r="BZ247" s="1164"/>
      <c r="CA247" s="1164"/>
      <c r="CB247" s="1164"/>
      <c r="CC247" s="1164"/>
      <c r="CD247" s="1164"/>
      <c r="CE247" s="1164"/>
      <c r="CF247" s="1851"/>
    </row>
    <row customHeight="1" ht="15" hidden="1">
      <c r="A248" s="627" t="s">
        <v>223</v>
      </c>
      <c r="B248" s="628"/>
      <c r="C248" s="628" t="s">
        <v>22</v>
      </c>
      <c r="D248" s="2595" t="s">
        <v>785</v>
      </c>
      <c r="E248" s="2394" t="s">
        <v>173</v>
      </c>
      <c r="F248" s="2395"/>
      <c r="G248" s="2396"/>
      <c r="H248" s="2400" t="str">
        <f>IF(A248="","",INDEX(DIFFERENTIATION_UNMERGE_VD,MATCH(A248,DIFFERENTIATION_ID_DIFF,0)))</f>
        <v>Холодное водоснабжение. Питьевая вода</v>
      </c>
      <c r="I248" s="2400"/>
      <c r="J248" s="2400"/>
      <c r="K248" s="2400"/>
      <c r="L248" s="2400"/>
      <c r="M248" s="2400"/>
      <c r="N248" s="2400"/>
      <c r="O248" s="2400"/>
      <c r="P248" s="2400"/>
      <c r="Q248" s="2400"/>
      <c r="R248" s="2400"/>
      <c r="S248" s="723"/>
      <c r="T248" s="720"/>
      <c r="U248" s="629"/>
      <c r="V248" s="629"/>
      <c r="W248" s="630"/>
      <c r="X248" s="630"/>
      <c r="Y248" s="630"/>
      <c r="Z248" s="630"/>
      <c r="AA248" s="631"/>
      <c r="AB248" s="632"/>
      <c r="AC248" s="2392"/>
      <c r="AD248" s="633"/>
      <c r="AE248" s="634" t="s">
        <v>22</v>
      </c>
      <c r="AF248" s="634"/>
      <c r="AG248" s="635" t="s">
        <v>754</v>
      </c>
      <c r="AH248" s="636">
        <v>3</v>
      </c>
      <c r="AI248" s="629"/>
      <c r="AJ248" s="629"/>
      <c r="AK248" s="629"/>
      <c r="AL248" s="629"/>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629"/>
      <c r="BP248" s="629"/>
      <c r="BQ248" s="629"/>
      <c r="BR248" s="629"/>
      <c r="BS248" s="629"/>
      <c r="BT248" s="629"/>
      <c r="BU248" s="629"/>
      <c r="BV248" s="630"/>
      <c r="BW248" s="630"/>
      <c r="BX248" s="630"/>
      <c r="BY248" s="630"/>
      <c r="BZ248" s="630"/>
      <c r="CA248" s="630"/>
      <c r="CB248" s="630"/>
      <c r="CC248" s="630"/>
      <c r="CD248" s="630"/>
      <c r="CE248" s="630"/>
      <c r="CF248" s="1851"/>
    </row>
    <row customHeight="1" ht="15" hidden="1">
      <c r="A249" s="627"/>
      <c r="B249" s="628"/>
      <c r="C249" s="628"/>
      <c r="D249" s="2596"/>
      <c r="E249" s="2394" t="s">
        <v>702</v>
      </c>
      <c r="F249" s="2395"/>
      <c r="G249" s="2396"/>
      <c r="H249" s="2400" t="str">
        <f>IF(A248="","",INDEX(DIFFERENTIATION_UNMERGE_AREA,MATCH(A248,DIFFERENTIATION_ID_DIFF,0)))</f>
        <v>Территория 8</v>
      </c>
      <c r="I249" s="2400"/>
      <c r="J249" s="2400"/>
      <c r="K249" s="2400"/>
      <c r="L249" s="2400"/>
      <c r="M249" s="2400"/>
      <c r="N249" s="2400"/>
      <c r="O249" s="2400"/>
      <c r="P249" s="2400"/>
      <c r="Q249" s="2400"/>
      <c r="R249" s="2400"/>
      <c r="S249" s="723"/>
      <c r="T249" s="720"/>
      <c r="U249" s="629"/>
      <c r="V249" s="629"/>
      <c r="W249" s="630"/>
      <c r="X249" s="630"/>
      <c r="Y249" s="630"/>
      <c r="Z249" s="630"/>
      <c r="AA249" s="631"/>
      <c r="AB249" s="632"/>
      <c r="AC249" s="2392"/>
      <c r="AD249" s="633"/>
      <c r="AE249" s="634"/>
      <c r="AF249" s="634"/>
      <c r="AG249" s="635"/>
      <c r="AH249" s="636"/>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30"/>
      <c r="BW249" s="630"/>
      <c r="BX249" s="630"/>
      <c r="BY249" s="630"/>
      <c r="BZ249" s="630"/>
      <c r="CA249" s="630"/>
      <c r="CB249" s="630"/>
      <c r="CC249" s="630"/>
      <c r="CD249" s="630"/>
      <c r="CE249" s="630"/>
      <c r="CF249" s="1851"/>
    </row>
    <row customHeight="1" ht="15" hidden="1">
      <c r="A250" s="627"/>
      <c r="B250" s="628"/>
      <c r="C250" s="628"/>
      <c r="D250" s="2596"/>
      <c r="E250" s="2394" t="s">
        <v>703</v>
      </c>
      <c r="F250" s="2395"/>
      <c r="G250" s="2396"/>
      <c r="H250" s="2400" t="str">
        <f>IF(A248="","",INDEX(DIFFERENTIATION_UNMERGE_SYSTEM,MATCH(A248,DIFFERENTIATION_ID_DIFF,0)))</f>
        <v>Централизованная система водоснабжения Черниговского сельского поселения</v>
      </c>
      <c r="I250" s="2400"/>
      <c r="J250" s="2400"/>
      <c r="K250" s="2400"/>
      <c r="L250" s="2400"/>
      <c r="M250" s="2400"/>
      <c r="N250" s="2400"/>
      <c r="O250" s="2400"/>
      <c r="P250" s="2400"/>
      <c r="Q250" s="2400"/>
      <c r="R250" s="2400"/>
      <c r="S250" s="723"/>
      <c r="T250" s="720"/>
      <c r="U250" s="629"/>
      <c r="V250" s="629"/>
      <c r="W250" s="630"/>
      <c r="X250" s="630"/>
      <c r="Y250" s="630"/>
      <c r="Z250" s="630"/>
      <c r="AA250" s="631"/>
      <c r="AB250" s="632"/>
      <c r="AC250" s="2392"/>
      <c r="AD250" s="633"/>
      <c r="AE250" s="634"/>
      <c r="AF250" s="634"/>
      <c r="AG250" s="635"/>
      <c r="AH250" s="636"/>
      <c r="AI250" s="629"/>
      <c r="AJ250" s="629"/>
      <c r="AK250" s="629"/>
      <c r="AL250" s="629"/>
      <c r="AM250" s="629"/>
      <c r="AN250" s="629"/>
      <c r="AO250" s="629"/>
      <c r="AP250" s="629"/>
      <c r="AQ250" s="629"/>
      <c r="AR250" s="629"/>
      <c r="AS250" s="629"/>
      <c r="AT250" s="629"/>
      <c r="AU250" s="629"/>
      <c r="AV250" s="629"/>
      <c r="AW250" s="629"/>
      <c r="AX250" s="629"/>
      <c r="AY250" s="629"/>
      <c r="AZ250" s="629"/>
      <c r="BA250" s="629"/>
      <c r="BB250" s="629"/>
      <c r="BC250" s="629"/>
      <c r="BD250" s="629"/>
      <c r="BE250" s="629"/>
      <c r="BF250" s="629"/>
      <c r="BG250" s="629"/>
      <c r="BH250" s="629"/>
      <c r="BI250" s="629"/>
      <c r="BJ250" s="629"/>
      <c r="BK250" s="629"/>
      <c r="BL250" s="629"/>
      <c r="BM250" s="629"/>
      <c r="BN250" s="629"/>
      <c r="BO250" s="629"/>
      <c r="BP250" s="629"/>
      <c r="BQ250" s="629"/>
      <c r="BR250" s="629"/>
      <c r="BS250" s="629"/>
      <c r="BT250" s="629"/>
      <c r="BU250" s="629"/>
      <c r="BV250" s="630"/>
      <c r="BW250" s="630"/>
      <c r="BX250" s="630"/>
      <c r="BY250" s="630"/>
      <c r="BZ250" s="630"/>
      <c r="CA250" s="630"/>
      <c r="CB250" s="630"/>
      <c r="CC250" s="630"/>
      <c r="CD250" s="630"/>
      <c r="CE250" s="630"/>
      <c r="CF250" s="1851"/>
    </row>
    <row customHeight="1" ht="24.75" hidden="1">
      <c r="A251" s="1809"/>
      <c r="B251" s="1164"/>
      <c r="C251" s="416"/>
      <c r="D251" s="2596"/>
      <c r="E251" s="2393" t="s">
        <v>755</v>
      </c>
      <c r="F251" s="2393"/>
      <c r="G251" s="2393"/>
      <c r="H251" s="2393"/>
      <c r="I251" s="2393"/>
      <c r="J251" s="2393"/>
      <c r="K251" s="2393"/>
      <c r="L251" s="2393"/>
      <c r="M251" s="2393"/>
      <c r="N251" s="2393"/>
      <c r="O251" s="2393"/>
      <c r="P251" s="2393"/>
      <c r="Q251" s="562">
        <f>SUMIF(T252:T253,"i",Q252:Q253)</f>
        <v>0</v>
      </c>
      <c r="R251" s="1021"/>
      <c r="S251" s="1801" t="s">
        <v>756</v>
      </c>
      <c r="T251" s="721" t="s">
        <v>757</v>
      </c>
      <c r="U251" s="2391">
        <v>1</v>
      </c>
      <c r="V251" s="2391" t="str">
        <f>INDEX(B_FHD_FLAG_INDEX_1,1,MATCH(A248,B_FHD_FLAG_DIFFERENTIATION,0))</f>
        <v>отсутствует</v>
      </c>
      <c r="W251" s="1164"/>
      <c r="X251" s="1164"/>
      <c r="Y251" s="1164"/>
      <c r="Z251" s="1164"/>
      <c r="AA251" s="1640"/>
      <c r="AB251" s="1164"/>
      <c r="AC251" s="2392"/>
      <c r="AD251" s="633"/>
      <c r="AE251" s="1164"/>
      <c r="AF251" s="1164"/>
      <c r="AG251" s="1640"/>
      <c r="AH251" s="1640"/>
      <c r="AI251" s="1640"/>
      <c r="AJ251" s="1640"/>
      <c r="AK251" s="1640"/>
      <c r="AL251" s="1640"/>
      <c r="AM251" s="1640"/>
      <c r="AN251" s="1640"/>
      <c r="AO251" s="1640"/>
      <c r="AP251" s="1640"/>
      <c r="AQ251" s="1640"/>
      <c r="AR251" s="1640"/>
      <c r="AS251" s="1640"/>
      <c r="AT251" s="1640"/>
      <c r="AU251" s="1640"/>
      <c r="AV251" s="1640"/>
      <c r="AW251" s="1640"/>
      <c r="AX251" s="1640"/>
      <c r="AY251" s="1640"/>
      <c r="AZ251" s="1640"/>
      <c r="BA251" s="1640"/>
      <c r="BB251" s="1640"/>
      <c r="BC251" s="1640"/>
      <c r="BD251" s="1640"/>
      <c r="BE251" s="1640"/>
      <c r="BF251" s="1640"/>
      <c r="BG251" s="1640"/>
      <c r="BH251" s="1640"/>
      <c r="BI251" s="1640"/>
      <c r="BJ251" s="1640"/>
      <c r="BK251" s="1640"/>
      <c r="BL251" s="1640"/>
      <c r="BM251" s="1640"/>
      <c r="BN251" s="1640"/>
      <c r="BO251" s="1640"/>
      <c r="BP251" s="1640"/>
      <c r="BQ251" s="1640"/>
      <c r="BR251" s="1640"/>
      <c r="BS251" s="1640"/>
      <c r="BT251" s="1640"/>
      <c r="BU251" s="1640"/>
      <c r="BV251" s="1164"/>
      <c r="BW251" s="1164"/>
      <c r="BX251" s="1164"/>
      <c r="BY251" s="1164"/>
      <c r="BZ251" s="1164"/>
      <c r="CA251" s="1164"/>
      <c r="CB251" s="1164"/>
      <c r="CC251" s="1164"/>
      <c r="CD251" s="1164"/>
      <c r="CE251" s="1164"/>
      <c r="CF251" s="1851"/>
    </row>
    <row customHeight="1" ht="11.25" hidden="1">
      <c r="A252" s="1796"/>
      <c r="B252" s="1640"/>
      <c r="C252" s="1640"/>
      <c r="D252" s="2596"/>
      <c r="E252" s="639"/>
      <c r="F252" s="639">
        <v>0</v>
      </c>
      <c r="G252" s="639"/>
      <c r="H252" s="639"/>
      <c r="I252" s="639"/>
      <c r="J252" s="639"/>
      <c r="K252" s="639"/>
      <c r="L252" s="639"/>
      <c r="M252" s="639"/>
      <c r="N252" s="639"/>
      <c r="O252" s="639"/>
      <c r="P252" s="639"/>
      <c r="Q252" s="639"/>
      <c r="R252" s="639"/>
      <c r="S252" s="640"/>
      <c r="T252" s="722"/>
      <c r="U252" s="2391"/>
      <c r="V252" s="2391"/>
      <c r="W252" s="1640"/>
      <c r="X252" s="1640"/>
      <c r="Y252" s="1640"/>
      <c r="Z252" s="1640"/>
      <c r="AA252" s="1640"/>
      <c r="AB252" s="1164"/>
      <c r="AC252" s="2392"/>
      <c r="AD252" s="633"/>
      <c r="AE252" s="1164"/>
      <c r="AF252" s="1164"/>
      <c r="AG252" s="1640"/>
      <c r="AH252" s="1640"/>
      <c r="AI252" s="1640"/>
      <c r="AJ252" s="1640"/>
      <c r="AK252" s="1640"/>
      <c r="AL252" s="1640"/>
      <c r="AM252" s="1640"/>
      <c r="AN252" s="1640"/>
      <c r="AO252" s="1640"/>
      <c r="AP252" s="1640"/>
      <c r="AQ252" s="1640"/>
      <c r="AR252" s="1640"/>
      <c r="AS252" s="1640"/>
      <c r="AT252" s="1640"/>
      <c r="AU252" s="1640"/>
      <c r="AV252" s="1640"/>
      <c r="AW252" s="1640"/>
      <c r="AX252" s="1640"/>
      <c r="AY252" s="1640"/>
      <c r="AZ252" s="1640"/>
      <c r="BA252" s="1640"/>
      <c r="BB252" s="1640"/>
      <c r="BC252" s="1640"/>
      <c r="BD252" s="1640"/>
      <c r="BE252" s="1640"/>
      <c r="BF252" s="1640"/>
      <c r="BG252" s="1640"/>
      <c r="BH252" s="1640"/>
      <c r="BI252" s="1640"/>
      <c r="BJ252" s="1640"/>
      <c r="BK252" s="1640"/>
      <c r="BL252" s="1640"/>
      <c r="BM252" s="1640"/>
      <c r="BN252" s="1640"/>
      <c r="BO252" s="1640"/>
      <c r="BP252" s="1640"/>
      <c r="BQ252" s="1640"/>
      <c r="BR252" s="1640"/>
      <c r="BS252" s="1640"/>
      <c r="BT252" s="1640"/>
      <c r="BU252" s="1640"/>
      <c r="BV252" s="1640"/>
      <c r="BW252" s="1640"/>
      <c r="BX252" s="1640"/>
      <c r="BY252" s="1640"/>
      <c r="BZ252" s="1640"/>
      <c r="CA252" s="1640"/>
      <c r="CB252" s="1640"/>
      <c r="CC252" s="1640"/>
      <c r="CD252" s="1640"/>
      <c r="CE252" s="1640"/>
      <c r="CF252" s="1851"/>
    </row>
    <row customHeight="1" ht="11.25" hidden="1">
      <c r="A253" s="1809"/>
      <c r="B253" s="1164"/>
      <c r="C253" s="416"/>
      <c r="D253" s="2596"/>
      <c r="E253" s="653" t="s">
        <v>22</v>
      </c>
      <c r="F253" s="1172" t="s">
        <v>22</v>
      </c>
      <c r="G253" s="1172" t="s">
        <v>760</v>
      </c>
      <c r="H253" s="655" t="s">
        <v>22</v>
      </c>
      <c r="I253" s="655"/>
      <c r="J253" s="655"/>
      <c r="K253" s="655"/>
      <c r="L253" s="655"/>
      <c r="M253" s="655"/>
      <c r="N253" s="655"/>
      <c r="O253" s="655"/>
      <c r="P253" s="655"/>
      <c r="Q253" s="655"/>
      <c r="R253" s="656"/>
      <c r="S253" s="657"/>
      <c r="T253" s="722"/>
      <c r="U253" s="2391"/>
      <c r="V253" s="2391"/>
      <c r="W253" s="1164"/>
      <c r="X253" s="1164"/>
      <c r="Y253" s="1164"/>
      <c r="Z253" s="1164"/>
      <c r="AA253" s="1640"/>
      <c r="AB253" s="1164"/>
      <c r="AC253" s="2392"/>
      <c r="AD253" s="633"/>
      <c r="AE253" s="1164"/>
      <c r="AF253" s="1164"/>
      <c r="AG253" s="1640"/>
      <c r="AH253" s="1640"/>
      <c r="AI253" s="1640"/>
      <c r="AJ253" s="1640"/>
      <c r="AK253" s="1640"/>
      <c r="AL253" s="1640"/>
      <c r="AM253" s="1640"/>
      <c r="AN253" s="1640"/>
      <c r="AO253" s="1640"/>
      <c r="AP253" s="1640"/>
      <c r="AQ253" s="1640"/>
      <c r="AR253" s="1640"/>
      <c r="AS253" s="1640"/>
      <c r="AT253" s="1640"/>
      <c r="AU253" s="1640"/>
      <c r="AV253" s="1640"/>
      <c r="AW253" s="1640"/>
      <c r="AX253" s="1640"/>
      <c r="AY253" s="1640"/>
      <c r="AZ253" s="1640"/>
      <c r="BA253" s="1640"/>
      <c r="BB253" s="1640"/>
      <c r="BC253" s="1640"/>
      <c r="BD253" s="1640"/>
      <c r="BE253" s="1640"/>
      <c r="BF253" s="1640"/>
      <c r="BG253" s="1640"/>
      <c r="BH253" s="1640"/>
      <c r="BI253" s="1640"/>
      <c r="BJ253" s="1640"/>
      <c r="BK253" s="1640"/>
      <c r="BL253" s="1640"/>
      <c r="BM253" s="1640"/>
      <c r="BN253" s="1640"/>
      <c r="BO253" s="1640"/>
      <c r="BP253" s="1640"/>
      <c r="BQ253" s="1640"/>
      <c r="BR253" s="1640"/>
      <c r="BS253" s="1640"/>
      <c r="BT253" s="1640"/>
      <c r="BU253" s="1640"/>
      <c r="BV253" s="1164"/>
      <c r="BW253" s="1164"/>
      <c r="BX253" s="1164"/>
      <c r="BY253" s="1164"/>
      <c r="BZ253" s="1164"/>
      <c r="CA253" s="1164"/>
      <c r="CB253" s="1164"/>
      <c r="CC253" s="1164"/>
      <c r="CD253" s="1164"/>
      <c r="CE253" s="1164"/>
      <c r="CF253" s="1851"/>
    </row>
    <row customHeight="1" ht="24.75" hidden="1">
      <c r="A254" s="1809"/>
      <c r="B254" s="1164"/>
      <c r="C254" s="416"/>
      <c r="D254" s="2596"/>
      <c r="E254" s="2393" t="s">
        <v>758</v>
      </c>
      <c r="F254" s="2393"/>
      <c r="G254" s="2393"/>
      <c r="H254" s="2393"/>
      <c r="I254" s="2393"/>
      <c r="J254" s="2393"/>
      <c r="K254" s="2393"/>
      <c r="L254" s="2393"/>
      <c r="M254" s="2393"/>
      <c r="N254" s="2393"/>
      <c r="O254" s="2393"/>
      <c r="P254" s="2393"/>
      <c r="Q254" s="562">
        <f>SUMIF(T255:T256,"i",Q255:Q256)</f>
        <v>0</v>
      </c>
      <c r="R254" s="1021"/>
      <c r="S254" s="1801" t="s">
        <v>759</v>
      </c>
      <c r="T254" s="721" t="s">
        <v>757</v>
      </c>
      <c r="U254" s="2391">
        <v>1</v>
      </c>
      <c r="V254" s="2391" t="str">
        <f>INDEX(B_FHD_FLAG_INDEX_2,1,MATCH(A248,B_FHD_FLAG_DIFFERENTIATION,0))</f>
        <v>отсутствует</v>
      </c>
      <c r="W254" s="1164"/>
      <c r="X254" s="1164"/>
      <c r="Y254" s="1164"/>
      <c r="Z254" s="1164"/>
      <c r="AA254" s="1640"/>
      <c r="AB254" s="1164"/>
      <c r="AC254" s="1799"/>
      <c r="AD254" s="633"/>
      <c r="AE254" s="1164"/>
      <c r="AF254" s="1164"/>
      <c r="AG254" s="1640"/>
      <c r="AH254" s="1640"/>
      <c r="AI254" s="1640"/>
      <c r="AJ254" s="1640"/>
      <c r="AK254" s="1640"/>
      <c r="AL254" s="1640"/>
      <c r="AM254" s="1640"/>
      <c r="AN254" s="1640"/>
      <c r="AO254" s="1640"/>
      <c r="AP254" s="1640"/>
      <c r="AQ254" s="1640"/>
      <c r="AR254" s="1640"/>
      <c r="AS254" s="1640"/>
      <c r="AT254" s="1640"/>
      <c r="AU254" s="1640"/>
      <c r="AV254" s="1640"/>
      <c r="AW254" s="1640"/>
      <c r="AX254" s="1640"/>
      <c r="AY254" s="1640"/>
      <c r="AZ254" s="1640"/>
      <c r="BA254" s="1640"/>
      <c r="BB254" s="1640"/>
      <c r="BC254" s="1640"/>
      <c r="BD254" s="1640"/>
      <c r="BE254" s="1640"/>
      <c r="BF254" s="1640"/>
      <c r="BG254" s="1640"/>
      <c r="BH254" s="1640"/>
      <c r="BI254" s="1640"/>
      <c r="BJ254" s="1640"/>
      <c r="BK254" s="1640"/>
      <c r="BL254" s="1640"/>
      <c r="BM254" s="1640"/>
      <c r="BN254" s="1640"/>
      <c r="BO254" s="1640"/>
      <c r="BP254" s="1640"/>
      <c r="BQ254" s="1640"/>
      <c r="BR254" s="1640"/>
      <c r="BS254" s="1640"/>
      <c r="BT254" s="1640"/>
      <c r="BU254" s="1640"/>
      <c r="BV254" s="1164"/>
      <c r="BW254" s="1164"/>
      <c r="BX254" s="1164"/>
      <c r="BY254" s="1164"/>
      <c r="BZ254" s="1164"/>
      <c r="CA254" s="1164"/>
      <c r="CB254" s="1164"/>
      <c r="CC254" s="1164"/>
      <c r="CD254" s="1164"/>
      <c r="CE254" s="1164"/>
      <c r="CF254" s="1851"/>
    </row>
    <row customHeight="1" ht="11.25" hidden="1">
      <c r="A255" s="1796"/>
      <c r="B255" s="1640"/>
      <c r="C255" s="1640"/>
      <c r="D255" s="2596"/>
      <c r="E255" s="639"/>
      <c r="F255" s="639">
        <v>0</v>
      </c>
      <c r="G255" s="639"/>
      <c r="H255" s="639"/>
      <c r="I255" s="639"/>
      <c r="J255" s="639"/>
      <c r="K255" s="639"/>
      <c r="L255" s="639"/>
      <c r="M255" s="639"/>
      <c r="N255" s="639"/>
      <c r="O255" s="639"/>
      <c r="P255" s="639"/>
      <c r="Q255" s="639"/>
      <c r="R255" s="639"/>
      <c r="S255" s="640"/>
      <c r="T255" s="722"/>
      <c r="U255" s="2391"/>
      <c r="V255" s="2391"/>
      <c r="W255" s="1640"/>
      <c r="X255" s="1640"/>
      <c r="Y255" s="1640"/>
      <c r="Z255" s="1640"/>
      <c r="AA255" s="1640"/>
      <c r="AB255" s="1164"/>
      <c r="AC255" s="1799"/>
      <c r="AD255" s="633"/>
      <c r="AE255" s="1164"/>
      <c r="AF255" s="1164"/>
      <c r="AG255" s="1640"/>
      <c r="AH255" s="1640"/>
      <c r="AI255" s="1640"/>
      <c r="AJ255" s="1640"/>
      <c r="AK255" s="1640"/>
      <c r="AL255" s="1640"/>
      <c r="AM255" s="1640"/>
      <c r="AN255" s="1640"/>
      <c r="AO255" s="1640"/>
      <c r="AP255" s="1640"/>
      <c r="AQ255" s="1640"/>
      <c r="AR255" s="1640"/>
      <c r="AS255" s="1640"/>
      <c r="AT255" s="1640"/>
      <c r="AU255" s="1640"/>
      <c r="AV255" s="1640"/>
      <c r="AW255" s="1640"/>
      <c r="AX255" s="1640"/>
      <c r="AY255" s="1640"/>
      <c r="AZ255" s="1640"/>
      <c r="BA255" s="1640"/>
      <c r="BB255" s="1640"/>
      <c r="BC255" s="1640"/>
      <c r="BD255" s="1640"/>
      <c r="BE255" s="1640"/>
      <c r="BF255" s="1640"/>
      <c r="BG255" s="1640"/>
      <c r="BH255" s="1640"/>
      <c r="BI255" s="1640"/>
      <c r="BJ255" s="1640"/>
      <c r="BK255" s="1640"/>
      <c r="BL255" s="1640"/>
      <c r="BM255" s="1640"/>
      <c r="BN255" s="1640"/>
      <c r="BO255" s="1640"/>
      <c r="BP255" s="1640"/>
      <c r="BQ255" s="1640"/>
      <c r="BR255" s="1640"/>
      <c r="BS255" s="1640"/>
      <c r="BT255" s="1640"/>
      <c r="BU255" s="1640"/>
      <c r="BV255" s="1640"/>
      <c r="BW255" s="1640"/>
      <c r="BX255" s="1640"/>
      <c r="BY255" s="1640"/>
      <c r="BZ255" s="1640"/>
      <c r="CA255" s="1640"/>
      <c r="CB255" s="1640"/>
      <c r="CC255" s="1640"/>
      <c r="CD255" s="1640"/>
      <c r="CE255" s="1640"/>
      <c r="CF255" s="1851"/>
    </row>
    <row customHeight="1" ht="11.25" hidden="1">
      <c r="A256" s="1809"/>
      <c r="B256" s="1164"/>
      <c r="C256" s="416"/>
      <c r="D256" s="2597"/>
      <c r="E256" s="653" t="s">
        <v>22</v>
      </c>
      <c r="F256" s="1172" t="s">
        <v>22</v>
      </c>
      <c r="G256" s="1172" t="s">
        <v>760</v>
      </c>
      <c r="H256" s="655" t="s">
        <v>22</v>
      </c>
      <c r="I256" s="655"/>
      <c r="J256" s="655"/>
      <c r="K256" s="655"/>
      <c r="L256" s="655"/>
      <c r="M256" s="655"/>
      <c r="N256" s="655"/>
      <c r="O256" s="655"/>
      <c r="P256" s="655"/>
      <c r="Q256" s="655"/>
      <c r="R256" s="656"/>
      <c r="S256" s="657"/>
      <c r="T256" s="722"/>
      <c r="U256" s="2391"/>
      <c r="V256" s="2391"/>
      <c r="W256" s="1164"/>
      <c r="X256" s="1164"/>
      <c r="Y256" s="1164"/>
      <c r="Z256" s="1164"/>
      <c r="AA256" s="1640"/>
      <c r="AB256" s="1164"/>
      <c r="AC256" s="1799"/>
      <c r="AD256" s="633"/>
      <c r="AE256" s="1164"/>
      <c r="AF256" s="1164"/>
      <c r="AG256" s="1640"/>
      <c r="AH256" s="1640"/>
      <c r="AI256" s="1640"/>
      <c r="AJ256" s="1640"/>
      <c r="AK256" s="1640"/>
      <c r="AL256" s="1640"/>
      <c r="AM256" s="1640"/>
      <c r="AN256" s="1640"/>
      <c r="AO256" s="1640"/>
      <c r="AP256" s="1640"/>
      <c r="AQ256" s="1640"/>
      <c r="AR256" s="1640"/>
      <c r="AS256" s="1640"/>
      <c r="AT256" s="1640"/>
      <c r="AU256" s="1640"/>
      <c r="AV256" s="1640"/>
      <c r="AW256" s="1640"/>
      <c r="AX256" s="1640"/>
      <c r="AY256" s="1640"/>
      <c r="AZ256" s="1640"/>
      <c r="BA256" s="1640"/>
      <c r="BB256" s="1640"/>
      <c r="BC256" s="1640"/>
      <c r="BD256" s="1640"/>
      <c r="BE256" s="1640"/>
      <c r="BF256" s="1640"/>
      <c r="BG256" s="1640"/>
      <c r="BH256" s="1640"/>
      <c r="BI256" s="1640"/>
      <c r="BJ256" s="1640"/>
      <c r="BK256" s="1640"/>
      <c r="BL256" s="1640"/>
      <c r="BM256" s="1640"/>
      <c r="BN256" s="1640"/>
      <c r="BO256" s="1640"/>
      <c r="BP256" s="1640"/>
      <c r="BQ256" s="1640"/>
      <c r="BR256" s="1640"/>
      <c r="BS256" s="1640"/>
      <c r="BT256" s="1640"/>
      <c r="BU256" s="1640"/>
      <c r="BV256" s="1164"/>
      <c r="BW256" s="1164"/>
      <c r="BX256" s="1164"/>
      <c r="BY256" s="1164"/>
      <c r="BZ256" s="1164"/>
      <c r="CA256" s="1164"/>
      <c r="CB256" s="1164"/>
      <c r="CC256" s="1164"/>
      <c r="CD256" s="1164"/>
      <c r="CE256" s="1164"/>
      <c r="CF256" s="1851"/>
    </row>
    <row customHeight="1" ht="15" hidden="1">
      <c r="A257" s="627" t="s">
        <v>227</v>
      </c>
      <c r="B257" s="628"/>
      <c r="C257" s="628" t="s">
        <v>22</v>
      </c>
      <c r="D257" s="2595" t="s">
        <v>786</v>
      </c>
      <c r="E257" s="2394" t="s">
        <v>173</v>
      </c>
      <c r="F257" s="2395"/>
      <c r="G257" s="2396"/>
      <c r="H257" s="2400" t="str">
        <f>IF(A257="","",INDEX(DIFFERENTIATION_UNMERGE_VD,MATCH(A257,DIFFERENTIATION_ID_DIFF,0)))</f>
        <v>Холодное водоснабжение. Питьевая вода</v>
      </c>
      <c r="I257" s="2400"/>
      <c r="J257" s="2400"/>
      <c r="K257" s="2400"/>
      <c r="L257" s="2400"/>
      <c r="M257" s="2400"/>
      <c r="N257" s="2400"/>
      <c r="O257" s="2400"/>
      <c r="P257" s="2400"/>
      <c r="Q257" s="2400"/>
      <c r="R257" s="2400"/>
      <c r="S257" s="723"/>
      <c r="T257" s="720"/>
      <c r="U257" s="629"/>
      <c r="V257" s="629"/>
      <c r="W257" s="630"/>
      <c r="X257" s="630"/>
      <c r="Y257" s="630"/>
      <c r="Z257" s="630"/>
      <c r="AA257" s="631"/>
      <c r="AB257" s="632"/>
      <c r="AC257" s="2392"/>
      <c r="AD257" s="633"/>
      <c r="AE257" s="634" t="s">
        <v>22</v>
      </c>
      <c r="AF257" s="634"/>
      <c r="AG257" s="635" t="s">
        <v>754</v>
      </c>
      <c r="AH257" s="636">
        <v>3</v>
      </c>
      <c r="AI257" s="629"/>
      <c r="AJ257" s="629"/>
      <c r="AK257" s="629"/>
      <c r="AL257" s="629"/>
      <c r="AM257" s="629"/>
      <c r="AN257" s="629"/>
      <c r="AO257" s="629"/>
      <c r="AP257" s="629"/>
      <c r="AQ257" s="629"/>
      <c r="AR257" s="629"/>
      <c r="AS257" s="629"/>
      <c r="AT257" s="629"/>
      <c r="AU257" s="629"/>
      <c r="AV257" s="629"/>
      <c r="AW257" s="629"/>
      <c r="AX257" s="629"/>
      <c r="AY257" s="629"/>
      <c r="AZ257" s="629"/>
      <c r="BA257" s="629"/>
      <c r="BB257" s="629"/>
      <c r="BC257" s="629"/>
      <c r="BD257" s="629"/>
      <c r="BE257" s="629"/>
      <c r="BF257" s="629"/>
      <c r="BG257" s="629"/>
      <c r="BH257" s="629"/>
      <c r="BI257" s="629"/>
      <c r="BJ257" s="629"/>
      <c r="BK257" s="629"/>
      <c r="BL257" s="629"/>
      <c r="BM257" s="629"/>
      <c r="BN257" s="629"/>
      <c r="BO257" s="629"/>
      <c r="BP257" s="629"/>
      <c r="BQ257" s="629"/>
      <c r="BR257" s="629"/>
      <c r="BS257" s="629"/>
      <c r="BT257" s="629"/>
      <c r="BU257" s="629"/>
      <c r="BV257" s="630"/>
      <c r="BW257" s="630"/>
      <c r="BX257" s="630"/>
      <c r="BY257" s="630"/>
      <c r="BZ257" s="630"/>
      <c r="CA257" s="630"/>
      <c r="CB257" s="630"/>
      <c r="CC257" s="630"/>
      <c r="CD257" s="630"/>
      <c r="CE257" s="630"/>
      <c r="CF257" s="1851"/>
    </row>
    <row customHeight="1" ht="15" hidden="1">
      <c r="A258" s="627"/>
      <c r="B258" s="628"/>
      <c r="C258" s="628"/>
      <c r="D258" s="2596"/>
      <c r="E258" s="2394" t="s">
        <v>702</v>
      </c>
      <c r="F258" s="2395"/>
      <c r="G258" s="2396"/>
      <c r="H258" s="2400" t="str">
        <f>IF(A257="","",INDEX(DIFFERENTIATION_UNMERGE_AREA,MATCH(A257,DIFFERENTIATION_ID_DIFF,0)))</f>
        <v>Территория 9</v>
      </c>
      <c r="I258" s="2400"/>
      <c r="J258" s="2400"/>
      <c r="K258" s="2400"/>
      <c r="L258" s="2400"/>
      <c r="M258" s="2400"/>
      <c r="N258" s="2400"/>
      <c r="O258" s="2400"/>
      <c r="P258" s="2400"/>
      <c r="Q258" s="2400"/>
      <c r="R258" s="2400"/>
      <c r="S258" s="723"/>
      <c r="T258" s="720"/>
      <c r="U258" s="629"/>
      <c r="V258" s="629"/>
      <c r="W258" s="630"/>
      <c r="X258" s="630"/>
      <c r="Y258" s="630"/>
      <c r="Z258" s="630"/>
      <c r="AA258" s="631"/>
      <c r="AB258" s="632"/>
      <c r="AC258" s="2392"/>
      <c r="AD258" s="633"/>
      <c r="AE258" s="634"/>
      <c r="AF258" s="634"/>
      <c r="AG258" s="635"/>
      <c r="AH258" s="636"/>
      <c r="AI258" s="629"/>
      <c r="AJ258" s="629"/>
      <c r="AK258" s="629"/>
      <c r="AL258" s="629"/>
      <c r="AM258" s="629"/>
      <c r="AN258" s="629"/>
      <c r="AO258" s="629"/>
      <c r="AP258" s="629"/>
      <c r="AQ258" s="629"/>
      <c r="AR258" s="629"/>
      <c r="AS258" s="629"/>
      <c r="AT258" s="629"/>
      <c r="AU258" s="629"/>
      <c r="AV258" s="629"/>
      <c r="AW258" s="629"/>
      <c r="AX258" s="629"/>
      <c r="AY258" s="629"/>
      <c r="AZ258" s="629"/>
      <c r="BA258" s="629"/>
      <c r="BB258" s="629"/>
      <c r="BC258" s="629"/>
      <c r="BD258" s="629"/>
      <c r="BE258" s="629"/>
      <c r="BF258" s="629"/>
      <c r="BG258" s="629"/>
      <c r="BH258" s="629"/>
      <c r="BI258" s="629"/>
      <c r="BJ258" s="629"/>
      <c r="BK258" s="629"/>
      <c r="BL258" s="629"/>
      <c r="BM258" s="629"/>
      <c r="BN258" s="629"/>
      <c r="BO258" s="629"/>
      <c r="BP258" s="629"/>
      <c r="BQ258" s="629"/>
      <c r="BR258" s="629"/>
      <c r="BS258" s="629"/>
      <c r="BT258" s="629"/>
      <c r="BU258" s="629"/>
      <c r="BV258" s="630"/>
      <c r="BW258" s="630"/>
      <c r="BX258" s="630"/>
      <c r="BY258" s="630"/>
      <c r="BZ258" s="630"/>
      <c r="CA258" s="630"/>
      <c r="CB258" s="630"/>
      <c r="CC258" s="630"/>
      <c r="CD258" s="630"/>
      <c r="CE258" s="630"/>
      <c r="CF258" s="1851"/>
    </row>
    <row customHeight="1" ht="15" hidden="1">
      <c r="A259" s="627"/>
      <c r="B259" s="628"/>
      <c r="C259" s="628"/>
      <c r="D259" s="2596"/>
      <c r="E259" s="2394" t="s">
        <v>703</v>
      </c>
      <c r="F259" s="2395"/>
      <c r="G259" s="2396"/>
      <c r="H259" s="2400" t="str">
        <f>IF(A257="","",INDEX(DIFFERENTIATION_UNMERGE_SYSTEM,MATCH(A257,DIFFERENTIATION_ID_DIFF,0)))</f>
        <v>Централизованная система водоснабжения городского округа Спасск-Дальний МКР Лазо</v>
      </c>
      <c r="I259" s="2400"/>
      <c r="J259" s="2400"/>
      <c r="K259" s="2400"/>
      <c r="L259" s="2400"/>
      <c r="M259" s="2400"/>
      <c r="N259" s="2400"/>
      <c r="O259" s="2400"/>
      <c r="P259" s="2400"/>
      <c r="Q259" s="2400"/>
      <c r="R259" s="2400"/>
      <c r="S259" s="723"/>
      <c r="T259" s="720"/>
      <c r="U259" s="629"/>
      <c r="V259" s="629"/>
      <c r="W259" s="630"/>
      <c r="X259" s="630"/>
      <c r="Y259" s="630"/>
      <c r="Z259" s="630"/>
      <c r="AA259" s="631"/>
      <c r="AB259" s="632"/>
      <c r="AC259" s="2392"/>
      <c r="AD259" s="633"/>
      <c r="AE259" s="634"/>
      <c r="AF259" s="634"/>
      <c r="AG259" s="635"/>
      <c r="AH259" s="636"/>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30"/>
      <c r="BW259" s="630"/>
      <c r="BX259" s="630"/>
      <c r="BY259" s="630"/>
      <c r="BZ259" s="630"/>
      <c r="CA259" s="630"/>
      <c r="CB259" s="630"/>
      <c r="CC259" s="630"/>
      <c r="CD259" s="630"/>
      <c r="CE259" s="630"/>
      <c r="CF259" s="1851"/>
    </row>
    <row customHeight="1" ht="24.75" hidden="1">
      <c r="A260" s="1809"/>
      <c r="B260" s="1164"/>
      <c r="C260" s="416"/>
      <c r="D260" s="2596"/>
      <c r="E260" s="2393" t="s">
        <v>755</v>
      </c>
      <c r="F260" s="2393"/>
      <c r="G260" s="2393"/>
      <c r="H260" s="2393"/>
      <c r="I260" s="2393"/>
      <c r="J260" s="2393"/>
      <c r="K260" s="2393"/>
      <c r="L260" s="2393"/>
      <c r="M260" s="2393"/>
      <c r="N260" s="2393"/>
      <c r="O260" s="2393"/>
      <c r="P260" s="2393"/>
      <c r="Q260" s="562">
        <f>SUMIF(T261:T262,"i",Q261:Q262)</f>
        <v>0</v>
      </c>
      <c r="R260" s="1021"/>
      <c r="S260" s="1801" t="s">
        <v>756</v>
      </c>
      <c r="T260" s="721" t="s">
        <v>757</v>
      </c>
      <c r="U260" s="2391">
        <v>1</v>
      </c>
      <c r="V260" s="2391" t="str">
        <f>INDEX(B_FHD_FLAG_INDEX_1,1,MATCH(A257,B_FHD_FLAG_DIFFERENTIATION,0))</f>
        <v>отсутствует</v>
      </c>
      <c r="W260" s="1164"/>
      <c r="X260" s="1164"/>
      <c r="Y260" s="1164"/>
      <c r="Z260" s="1164"/>
      <c r="AA260" s="1640"/>
      <c r="AB260" s="1164"/>
      <c r="AC260" s="2392"/>
      <c r="AD260" s="633"/>
      <c r="AE260" s="1164"/>
      <c r="AF260" s="1164"/>
      <c r="AG260" s="1640"/>
      <c r="AH260" s="1640"/>
      <c r="AI260" s="1640"/>
      <c r="AJ260" s="1640"/>
      <c r="AK260" s="1640"/>
      <c r="AL260" s="1640"/>
      <c r="AM260" s="1640"/>
      <c r="AN260" s="1640"/>
      <c r="AO260" s="1640"/>
      <c r="AP260" s="1640"/>
      <c r="AQ260" s="1640"/>
      <c r="AR260" s="1640"/>
      <c r="AS260" s="1640"/>
      <c r="AT260" s="1640"/>
      <c r="AU260" s="1640"/>
      <c r="AV260" s="1640"/>
      <c r="AW260" s="1640"/>
      <c r="AX260" s="1640"/>
      <c r="AY260" s="1640"/>
      <c r="AZ260" s="1640"/>
      <c r="BA260" s="1640"/>
      <c r="BB260" s="1640"/>
      <c r="BC260" s="1640"/>
      <c r="BD260" s="1640"/>
      <c r="BE260" s="1640"/>
      <c r="BF260" s="1640"/>
      <c r="BG260" s="1640"/>
      <c r="BH260" s="1640"/>
      <c r="BI260" s="1640"/>
      <c r="BJ260" s="1640"/>
      <c r="BK260" s="1640"/>
      <c r="BL260" s="1640"/>
      <c r="BM260" s="1640"/>
      <c r="BN260" s="1640"/>
      <c r="BO260" s="1640"/>
      <c r="BP260" s="1640"/>
      <c r="BQ260" s="1640"/>
      <c r="BR260" s="1640"/>
      <c r="BS260" s="1640"/>
      <c r="BT260" s="1640"/>
      <c r="BU260" s="1640"/>
      <c r="BV260" s="1164"/>
      <c r="BW260" s="1164"/>
      <c r="BX260" s="1164"/>
      <c r="BY260" s="1164"/>
      <c r="BZ260" s="1164"/>
      <c r="CA260" s="1164"/>
      <c r="CB260" s="1164"/>
      <c r="CC260" s="1164"/>
      <c r="CD260" s="1164"/>
      <c r="CE260" s="1164"/>
      <c r="CF260" s="1851"/>
    </row>
    <row customHeight="1" ht="11.25" hidden="1">
      <c r="A261" s="1796"/>
      <c r="B261" s="1640"/>
      <c r="C261" s="1640"/>
      <c r="D261" s="2596"/>
      <c r="E261" s="639"/>
      <c r="F261" s="639">
        <v>0</v>
      </c>
      <c r="G261" s="639"/>
      <c r="H261" s="639"/>
      <c r="I261" s="639"/>
      <c r="J261" s="639"/>
      <c r="K261" s="639"/>
      <c r="L261" s="639"/>
      <c r="M261" s="639"/>
      <c r="N261" s="639"/>
      <c r="O261" s="639"/>
      <c r="P261" s="639"/>
      <c r="Q261" s="639"/>
      <c r="R261" s="639"/>
      <c r="S261" s="640"/>
      <c r="T261" s="722"/>
      <c r="U261" s="2391"/>
      <c r="V261" s="2391"/>
      <c r="W261" s="1640"/>
      <c r="X261" s="1640"/>
      <c r="Y261" s="1640"/>
      <c r="Z261" s="1640"/>
      <c r="AA261" s="1640"/>
      <c r="AB261" s="1164"/>
      <c r="AC261" s="2392"/>
      <c r="AD261" s="633"/>
      <c r="AE261" s="1164"/>
      <c r="AF261" s="1164"/>
      <c r="AG261" s="1640"/>
      <c r="AH261" s="1640"/>
      <c r="AI261" s="1640"/>
      <c r="AJ261" s="1640"/>
      <c r="AK261" s="1640"/>
      <c r="AL261" s="1640"/>
      <c r="AM261" s="1640"/>
      <c r="AN261" s="1640"/>
      <c r="AO261" s="1640"/>
      <c r="AP261" s="1640"/>
      <c r="AQ261" s="1640"/>
      <c r="AR261" s="1640"/>
      <c r="AS261" s="1640"/>
      <c r="AT261" s="1640"/>
      <c r="AU261" s="1640"/>
      <c r="AV261" s="1640"/>
      <c r="AW261" s="1640"/>
      <c r="AX261" s="1640"/>
      <c r="AY261" s="1640"/>
      <c r="AZ261" s="1640"/>
      <c r="BA261" s="1640"/>
      <c r="BB261" s="1640"/>
      <c r="BC261" s="1640"/>
      <c r="BD261" s="1640"/>
      <c r="BE261" s="1640"/>
      <c r="BF261" s="1640"/>
      <c r="BG261" s="1640"/>
      <c r="BH261" s="1640"/>
      <c r="BI261" s="1640"/>
      <c r="BJ261" s="1640"/>
      <c r="BK261" s="1640"/>
      <c r="BL261" s="1640"/>
      <c r="BM261" s="1640"/>
      <c r="BN261" s="1640"/>
      <c r="BO261" s="1640"/>
      <c r="BP261" s="1640"/>
      <c r="BQ261" s="1640"/>
      <c r="BR261" s="1640"/>
      <c r="BS261" s="1640"/>
      <c r="BT261" s="1640"/>
      <c r="BU261" s="1640"/>
      <c r="BV261" s="1640"/>
      <c r="BW261" s="1640"/>
      <c r="BX261" s="1640"/>
      <c r="BY261" s="1640"/>
      <c r="BZ261" s="1640"/>
      <c r="CA261" s="1640"/>
      <c r="CB261" s="1640"/>
      <c r="CC261" s="1640"/>
      <c r="CD261" s="1640"/>
      <c r="CE261" s="1640"/>
      <c r="CF261" s="1851"/>
    </row>
    <row customHeight="1" ht="11.25" hidden="1">
      <c r="A262" s="1809"/>
      <c r="B262" s="1164"/>
      <c r="C262" s="416"/>
      <c r="D262" s="2596"/>
      <c r="E262" s="653" t="s">
        <v>22</v>
      </c>
      <c r="F262" s="1172" t="s">
        <v>22</v>
      </c>
      <c r="G262" s="1172" t="s">
        <v>760</v>
      </c>
      <c r="H262" s="655" t="s">
        <v>22</v>
      </c>
      <c r="I262" s="655"/>
      <c r="J262" s="655"/>
      <c r="K262" s="655"/>
      <c r="L262" s="655"/>
      <c r="M262" s="655"/>
      <c r="N262" s="655"/>
      <c r="O262" s="655"/>
      <c r="P262" s="655"/>
      <c r="Q262" s="655"/>
      <c r="R262" s="656"/>
      <c r="S262" s="657"/>
      <c r="T262" s="722"/>
      <c r="U262" s="2391"/>
      <c r="V262" s="2391"/>
      <c r="W262" s="1164"/>
      <c r="X262" s="1164"/>
      <c r="Y262" s="1164"/>
      <c r="Z262" s="1164"/>
      <c r="AA262" s="1640"/>
      <c r="AB262" s="1164"/>
      <c r="AC262" s="2392"/>
      <c r="AD262" s="633"/>
      <c r="AE262" s="1164"/>
      <c r="AF262" s="1164"/>
      <c r="AG262" s="1640"/>
      <c r="AH262" s="1640"/>
      <c r="AI262" s="1640"/>
      <c r="AJ262" s="1640"/>
      <c r="AK262" s="1640"/>
      <c r="AL262" s="1640"/>
      <c r="AM262" s="1640"/>
      <c r="AN262" s="1640"/>
      <c r="AO262" s="1640"/>
      <c r="AP262" s="1640"/>
      <c r="AQ262" s="1640"/>
      <c r="AR262" s="1640"/>
      <c r="AS262" s="1640"/>
      <c r="AT262" s="1640"/>
      <c r="AU262" s="1640"/>
      <c r="AV262" s="1640"/>
      <c r="AW262" s="1640"/>
      <c r="AX262" s="1640"/>
      <c r="AY262" s="1640"/>
      <c r="AZ262" s="1640"/>
      <c r="BA262" s="1640"/>
      <c r="BB262" s="1640"/>
      <c r="BC262" s="1640"/>
      <c r="BD262" s="1640"/>
      <c r="BE262" s="1640"/>
      <c r="BF262" s="1640"/>
      <c r="BG262" s="1640"/>
      <c r="BH262" s="1640"/>
      <c r="BI262" s="1640"/>
      <c r="BJ262" s="1640"/>
      <c r="BK262" s="1640"/>
      <c r="BL262" s="1640"/>
      <c r="BM262" s="1640"/>
      <c r="BN262" s="1640"/>
      <c r="BO262" s="1640"/>
      <c r="BP262" s="1640"/>
      <c r="BQ262" s="1640"/>
      <c r="BR262" s="1640"/>
      <c r="BS262" s="1640"/>
      <c r="BT262" s="1640"/>
      <c r="BU262" s="1640"/>
      <c r="BV262" s="1164"/>
      <c r="BW262" s="1164"/>
      <c r="BX262" s="1164"/>
      <c r="BY262" s="1164"/>
      <c r="BZ262" s="1164"/>
      <c r="CA262" s="1164"/>
      <c r="CB262" s="1164"/>
      <c r="CC262" s="1164"/>
      <c r="CD262" s="1164"/>
      <c r="CE262" s="1164"/>
      <c r="CF262" s="1851"/>
    </row>
    <row customHeight="1" ht="24.75" hidden="1">
      <c r="A263" s="1809"/>
      <c r="B263" s="1164"/>
      <c r="C263" s="416"/>
      <c r="D263" s="2596"/>
      <c r="E263" s="2393" t="s">
        <v>758</v>
      </c>
      <c r="F263" s="2393"/>
      <c r="G263" s="2393"/>
      <c r="H263" s="2393"/>
      <c r="I263" s="2393"/>
      <c r="J263" s="2393"/>
      <c r="K263" s="2393"/>
      <c r="L263" s="2393"/>
      <c r="M263" s="2393"/>
      <c r="N263" s="2393"/>
      <c r="O263" s="2393"/>
      <c r="P263" s="2393"/>
      <c r="Q263" s="562">
        <f>SUMIF(T264:T265,"i",Q264:Q265)</f>
        <v>0</v>
      </c>
      <c r="R263" s="1021"/>
      <c r="S263" s="1801" t="s">
        <v>759</v>
      </c>
      <c r="T263" s="721" t="s">
        <v>757</v>
      </c>
      <c r="U263" s="2391">
        <v>1</v>
      </c>
      <c r="V263" s="2391" t="str">
        <f>INDEX(B_FHD_FLAG_INDEX_2,1,MATCH(A257,B_FHD_FLAG_DIFFERENTIATION,0))</f>
        <v>отсутствует</v>
      </c>
      <c r="W263" s="1164"/>
      <c r="X263" s="1164"/>
      <c r="Y263" s="1164"/>
      <c r="Z263" s="1164"/>
      <c r="AA263" s="1640"/>
      <c r="AB263" s="1164"/>
      <c r="AC263" s="1799"/>
      <c r="AD263" s="633"/>
      <c r="AE263" s="1164"/>
      <c r="AF263" s="1164"/>
      <c r="AG263" s="1640"/>
      <c r="AH263" s="1640"/>
      <c r="AI263" s="1640"/>
      <c r="AJ263" s="1640"/>
      <c r="AK263" s="1640"/>
      <c r="AL263" s="1640"/>
      <c r="AM263" s="1640"/>
      <c r="AN263" s="1640"/>
      <c r="AO263" s="1640"/>
      <c r="AP263" s="1640"/>
      <c r="AQ263" s="1640"/>
      <c r="AR263" s="1640"/>
      <c r="AS263" s="1640"/>
      <c r="AT263" s="1640"/>
      <c r="AU263" s="1640"/>
      <c r="AV263" s="1640"/>
      <c r="AW263" s="1640"/>
      <c r="AX263" s="1640"/>
      <c r="AY263" s="1640"/>
      <c r="AZ263" s="1640"/>
      <c r="BA263" s="1640"/>
      <c r="BB263" s="1640"/>
      <c r="BC263" s="1640"/>
      <c r="BD263" s="1640"/>
      <c r="BE263" s="1640"/>
      <c r="BF263" s="1640"/>
      <c r="BG263" s="1640"/>
      <c r="BH263" s="1640"/>
      <c r="BI263" s="1640"/>
      <c r="BJ263" s="1640"/>
      <c r="BK263" s="1640"/>
      <c r="BL263" s="1640"/>
      <c r="BM263" s="1640"/>
      <c r="BN263" s="1640"/>
      <c r="BO263" s="1640"/>
      <c r="BP263" s="1640"/>
      <c r="BQ263" s="1640"/>
      <c r="BR263" s="1640"/>
      <c r="BS263" s="1640"/>
      <c r="BT263" s="1640"/>
      <c r="BU263" s="1640"/>
      <c r="BV263" s="1164"/>
      <c r="BW263" s="1164"/>
      <c r="BX263" s="1164"/>
      <c r="BY263" s="1164"/>
      <c r="BZ263" s="1164"/>
      <c r="CA263" s="1164"/>
      <c r="CB263" s="1164"/>
      <c r="CC263" s="1164"/>
      <c r="CD263" s="1164"/>
      <c r="CE263" s="1164"/>
      <c r="CF263" s="1851"/>
    </row>
    <row customHeight="1" ht="11.25" hidden="1">
      <c r="A264" s="1796"/>
      <c r="B264" s="1640"/>
      <c r="C264" s="1640"/>
      <c r="D264" s="2596"/>
      <c r="E264" s="639"/>
      <c r="F264" s="639">
        <v>0</v>
      </c>
      <c r="G264" s="639"/>
      <c r="H264" s="639"/>
      <c r="I264" s="639"/>
      <c r="J264" s="639"/>
      <c r="K264" s="639"/>
      <c r="L264" s="639"/>
      <c r="M264" s="639"/>
      <c r="N264" s="639"/>
      <c r="O264" s="639"/>
      <c r="P264" s="639"/>
      <c r="Q264" s="639"/>
      <c r="R264" s="639"/>
      <c r="S264" s="640"/>
      <c r="T264" s="722"/>
      <c r="U264" s="2391"/>
      <c r="V264" s="2391"/>
      <c r="W264" s="1640"/>
      <c r="X264" s="1640"/>
      <c r="Y264" s="1640"/>
      <c r="Z264" s="1640"/>
      <c r="AA264" s="1640"/>
      <c r="AB264" s="1164"/>
      <c r="AC264" s="1799"/>
      <c r="AD264" s="633"/>
      <c r="AE264" s="1164"/>
      <c r="AF264" s="1164"/>
      <c r="AG264" s="1640"/>
      <c r="AH264" s="1640"/>
      <c r="AI264" s="1640"/>
      <c r="AJ264" s="1640"/>
      <c r="AK264" s="1640"/>
      <c r="AL264" s="1640"/>
      <c r="AM264" s="1640"/>
      <c r="AN264" s="1640"/>
      <c r="AO264" s="1640"/>
      <c r="AP264" s="1640"/>
      <c r="AQ264" s="1640"/>
      <c r="AR264" s="1640"/>
      <c r="AS264" s="1640"/>
      <c r="AT264" s="1640"/>
      <c r="AU264" s="1640"/>
      <c r="AV264" s="1640"/>
      <c r="AW264" s="1640"/>
      <c r="AX264" s="1640"/>
      <c r="AY264" s="1640"/>
      <c r="AZ264" s="1640"/>
      <c r="BA264" s="1640"/>
      <c r="BB264" s="1640"/>
      <c r="BC264" s="1640"/>
      <c r="BD264" s="1640"/>
      <c r="BE264" s="1640"/>
      <c r="BF264" s="1640"/>
      <c r="BG264" s="1640"/>
      <c r="BH264" s="1640"/>
      <c r="BI264" s="1640"/>
      <c r="BJ264" s="1640"/>
      <c r="BK264" s="1640"/>
      <c r="BL264" s="1640"/>
      <c r="BM264" s="1640"/>
      <c r="BN264" s="1640"/>
      <c r="BO264" s="1640"/>
      <c r="BP264" s="1640"/>
      <c r="BQ264" s="1640"/>
      <c r="BR264" s="1640"/>
      <c r="BS264" s="1640"/>
      <c r="BT264" s="1640"/>
      <c r="BU264" s="1640"/>
      <c r="BV264" s="1640"/>
      <c r="BW264" s="1640"/>
      <c r="BX264" s="1640"/>
      <c r="BY264" s="1640"/>
      <c r="BZ264" s="1640"/>
      <c r="CA264" s="1640"/>
      <c r="CB264" s="1640"/>
      <c r="CC264" s="1640"/>
      <c r="CD264" s="1640"/>
      <c r="CE264" s="1640"/>
      <c r="CF264" s="1851"/>
    </row>
    <row customHeight="1" ht="11.25" hidden="1">
      <c r="A265" s="1809"/>
      <c r="B265" s="1164"/>
      <c r="C265" s="416"/>
      <c r="D265" s="2597"/>
      <c r="E265" s="653" t="s">
        <v>22</v>
      </c>
      <c r="F265" s="1172" t="s">
        <v>22</v>
      </c>
      <c r="G265" s="1172" t="s">
        <v>760</v>
      </c>
      <c r="H265" s="655" t="s">
        <v>22</v>
      </c>
      <c r="I265" s="655"/>
      <c r="J265" s="655"/>
      <c r="K265" s="655"/>
      <c r="L265" s="655"/>
      <c r="M265" s="655"/>
      <c r="N265" s="655"/>
      <c r="O265" s="655"/>
      <c r="P265" s="655"/>
      <c r="Q265" s="655"/>
      <c r="R265" s="656"/>
      <c r="S265" s="657"/>
      <c r="T265" s="722"/>
      <c r="U265" s="2391"/>
      <c r="V265" s="2391"/>
      <c r="W265" s="1164"/>
      <c r="X265" s="1164"/>
      <c r="Y265" s="1164"/>
      <c r="Z265" s="1164"/>
      <c r="AA265" s="1640"/>
      <c r="AB265" s="1164"/>
      <c r="AC265" s="1799"/>
      <c r="AD265" s="633"/>
      <c r="AE265" s="1164"/>
      <c r="AF265" s="1164"/>
      <c r="AG265" s="1640"/>
      <c r="AH265" s="1640"/>
      <c r="AI265" s="1640"/>
      <c r="AJ265" s="1640"/>
      <c r="AK265" s="1640"/>
      <c r="AL265" s="1640"/>
      <c r="AM265" s="1640"/>
      <c r="AN265" s="1640"/>
      <c r="AO265" s="1640"/>
      <c r="AP265" s="1640"/>
      <c r="AQ265" s="1640"/>
      <c r="AR265" s="1640"/>
      <c r="AS265" s="1640"/>
      <c r="AT265" s="1640"/>
      <c r="AU265" s="1640"/>
      <c r="AV265" s="1640"/>
      <c r="AW265" s="1640"/>
      <c r="AX265" s="1640"/>
      <c r="AY265" s="1640"/>
      <c r="AZ265" s="1640"/>
      <c r="BA265" s="1640"/>
      <c r="BB265" s="1640"/>
      <c r="BC265" s="1640"/>
      <c r="BD265" s="1640"/>
      <c r="BE265" s="1640"/>
      <c r="BF265" s="1640"/>
      <c r="BG265" s="1640"/>
      <c r="BH265" s="1640"/>
      <c r="BI265" s="1640"/>
      <c r="BJ265" s="1640"/>
      <c r="BK265" s="1640"/>
      <c r="BL265" s="1640"/>
      <c r="BM265" s="1640"/>
      <c r="BN265" s="1640"/>
      <c r="BO265" s="1640"/>
      <c r="BP265" s="1640"/>
      <c r="BQ265" s="1640"/>
      <c r="BR265" s="1640"/>
      <c r="BS265" s="1640"/>
      <c r="BT265" s="1640"/>
      <c r="BU265" s="1640"/>
      <c r="BV265" s="1164"/>
      <c r="BW265" s="1164"/>
      <c r="BX265" s="1164"/>
      <c r="BY265" s="1164"/>
      <c r="BZ265" s="1164"/>
      <c r="CA265" s="1164"/>
      <c r="CB265" s="1164"/>
      <c r="CC265" s="1164"/>
      <c r="CD265" s="1164"/>
      <c r="CE265" s="1164"/>
      <c r="CF265" s="1851"/>
    </row>
    <row customHeight="1" ht="15" hidden="1">
      <c r="A266" s="627" t="s">
        <v>233</v>
      </c>
      <c r="B266" s="628"/>
      <c r="C266" s="628" t="s">
        <v>22</v>
      </c>
      <c r="D266" s="2595" t="s">
        <v>787</v>
      </c>
      <c r="E266" s="2394" t="s">
        <v>173</v>
      </c>
      <c r="F266" s="2395"/>
      <c r="G266" s="2396"/>
      <c r="H266" s="2400" t="str">
        <f>IF(A266="","",INDEX(DIFFERENTIATION_UNMERGE_VD,MATCH(A266,DIFFERENTIATION_ID_DIFF,0)))</f>
        <v>Холодное водоснабжение. Питьевая вода</v>
      </c>
      <c r="I266" s="2400"/>
      <c r="J266" s="2400"/>
      <c r="K266" s="2400"/>
      <c r="L266" s="2400"/>
      <c r="M266" s="2400"/>
      <c r="N266" s="2400"/>
      <c r="O266" s="2400"/>
      <c r="P266" s="2400"/>
      <c r="Q266" s="2400"/>
      <c r="R266" s="2400"/>
      <c r="S266" s="723"/>
      <c r="T266" s="720"/>
      <c r="U266" s="629"/>
      <c r="V266" s="629"/>
      <c r="W266" s="630"/>
      <c r="X266" s="630"/>
      <c r="Y266" s="630"/>
      <c r="Z266" s="630"/>
      <c r="AA266" s="631"/>
      <c r="AB266" s="632"/>
      <c r="AC266" s="2392"/>
      <c r="AD266" s="633"/>
      <c r="AE266" s="634" t="s">
        <v>22</v>
      </c>
      <c r="AF266" s="634"/>
      <c r="AG266" s="635" t="s">
        <v>754</v>
      </c>
      <c r="AH266" s="636">
        <v>3</v>
      </c>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30"/>
      <c r="BW266" s="630"/>
      <c r="BX266" s="630"/>
      <c r="BY266" s="630"/>
      <c r="BZ266" s="630"/>
      <c r="CA266" s="630"/>
      <c r="CB266" s="630"/>
      <c r="CC266" s="630"/>
      <c r="CD266" s="630"/>
      <c r="CE266" s="630"/>
      <c r="CF266" s="1851"/>
    </row>
    <row customHeight="1" ht="15" hidden="1">
      <c r="A267" s="627"/>
      <c r="B267" s="628"/>
      <c r="C267" s="628"/>
      <c r="D267" s="2596"/>
      <c r="E267" s="2394" t="s">
        <v>702</v>
      </c>
      <c r="F267" s="2395"/>
      <c r="G267" s="2396"/>
      <c r="H267" s="2400" t="str">
        <f>IF(A266="","",INDEX(DIFFERENTIATION_UNMERGE_AREA,MATCH(A266,DIFFERENTIATION_ID_DIFF,0)))</f>
        <v>Территория 11</v>
      </c>
      <c r="I267" s="2400"/>
      <c r="J267" s="2400"/>
      <c r="K267" s="2400"/>
      <c r="L267" s="2400"/>
      <c r="M267" s="2400"/>
      <c r="N267" s="2400"/>
      <c r="O267" s="2400"/>
      <c r="P267" s="2400"/>
      <c r="Q267" s="2400"/>
      <c r="R267" s="2400"/>
      <c r="S267" s="723"/>
      <c r="T267" s="720"/>
      <c r="U267" s="629"/>
      <c r="V267" s="629"/>
      <c r="W267" s="630"/>
      <c r="X267" s="630"/>
      <c r="Y267" s="630"/>
      <c r="Z267" s="630"/>
      <c r="AA267" s="631"/>
      <c r="AB267" s="632"/>
      <c r="AC267" s="2392"/>
      <c r="AD267" s="633"/>
      <c r="AE267" s="634"/>
      <c r="AF267" s="634"/>
      <c r="AG267" s="635"/>
      <c r="AH267" s="636"/>
      <c r="AI267" s="629"/>
      <c r="AJ267" s="629"/>
      <c r="AK267" s="629"/>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30"/>
      <c r="BW267" s="630"/>
      <c r="BX267" s="630"/>
      <c r="BY267" s="630"/>
      <c r="BZ267" s="630"/>
      <c r="CA267" s="630"/>
      <c r="CB267" s="630"/>
      <c r="CC267" s="630"/>
      <c r="CD267" s="630"/>
      <c r="CE267" s="630"/>
      <c r="CF267" s="1851"/>
    </row>
    <row customHeight="1" ht="15" hidden="1">
      <c r="A268" s="627"/>
      <c r="B268" s="628"/>
      <c r="C268" s="628"/>
      <c r="D268" s="2596"/>
      <c r="E268" s="2394" t="s">
        <v>703</v>
      </c>
      <c r="F268" s="2395"/>
      <c r="G268" s="2396"/>
      <c r="H268" s="2400" t="str">
        <f>IF(A266="","",INDEX(DIFFERENTIATION_UNMERGE_SYSTEM,MATCH(A266,DIFFERENTIATION_ID_DIFF,0)))</f>
        <v>Централизованная система водоснабжения  Дальнереченского городского округа (в.г.Графский)</v>
      </c>
      <c r="I268" s="2400"/>
      <c r="J268" s="2400"/>
      <c r="K268" s="2400"/>
      <c r="L268" s="2400"/>
      <c r="M268" s="2400"/>
      <c r="N268" s="2400"/>
      <c r="O268" s="2400"/>
      <c r="P268" s="2400"/>
      <c r="Q268" s="2400"/>
      <c r="R268" s="2400"/>
      <c r="S268" s="723"/>
      <c r="T268" s="720"/>
      <c r="U268" s="629"/>
      <c r="V268" s="629"/>
      <c r="W268" s="630"/>
      <c r="X268" s="630"/>
      <c r="Y268" s="630"/>
      <c r="Z268" s="630"/>
      <c r="AA268" s="631"/>
      <c r="AB268" s="632"/>
      <c r="AC268" s="2392"/>
      <c r="AD268" s="633"/>
      <c r="AE268" s="634"/>
      <c r="AF268" s="634"/>
      <c r="AG268" s="635"/>
      <c r="AH268" s="636"/>
      <c r="AI268" s="629"/>
      <c r="AJ268" s="629"/>
      <c r="AK268" s="629"/>
      <c r="AL268" s="629"/>
      <c r="AM268" s="629"/>
      <c r="AN268" s="629"/>
      <c r="AO268" s="629"/>
      <c r="AP268" s="629"/>
      <c r="AQ268" s="629"/>
      <c r="AR268" s="629"/>
      <c r="AS268" s="629"/>
      <c r="AT268" s="629"/>
      <c r="AU268" s="629"/>
      <c r="AV268" s="629"/>
      <c r="AW268" s="629"/>
      <c r="AX268" s="629"/>
      <c r="AY268" s="629"/>
      <c r="AZ268" s="629"/>
      <c r="BA268" s="629"/>
      <c r="BB268" s="629"/>
      <c r="BC268" s="629"/>
      <c r="BD268" s="629"/>
      <c r="BE268" s="629"/>
      <c r="BF268" s="629"/>
      <c r="BG268" s="629"/>
      <c r="BH268" s="629"/>
      <c r="BI268" s="629"/>
      <c r="BJ268" s="629"/>
      <c r="BK268" s="629"/>
      <c r="BL268" s="629"/>
      <c r="BM268" s="629"/>
      <c r="BN268" s="629"/>
      <c r="BO268" s="629"/>
      <c r="BP268" s="629"/>
      <c r="BQ268" s="629"/>
      <c r="BR268" s="629"/>
      <c r="BS268" s="629"/>
      <c r="BT268" s="629"/>
      <c r="BU268" s="629"/>
      <c r="BV268" s="630"/>
      <c r="BW268" s="630"/>
      <c r="BX268" s="630"/>
      <c r="BY268" s="630"/>
      <c r="BZ268" s="630"/>
      <c r="CA268" s="630"/>
      <c r="CB268" s="630"/>
      <c r="CC268" s="630"/>
      <c r="CD268" s="630"/>
      <c r="CE268" s="630"/>
      <c r="CF268" s="1851"/>
    </row>
    <row customHeight="1" ht="24.75" hidden="1">
      <c r="A269" s="1809"/>
      <c r="B269" s="1164"/>
      <c r="C269" s="416"/>
      <c r="D269" s="2596"/>
      <c r="E269" s="2393" t="s">
        <v>755</v>
      </c>
      <c r="F269" s="2393"/>
      <c r="G269" s="2393"/>
      <c r="H269" s="2393"/>
      <c r="I269" s="2393"/>
      <c r="J269" s="2393"/>
      <c r="K269" s="2393"/>
      <c r="L269" s="2393"/>
      <c r="M269" s="2393"/>
      <c r="N269" s="2393"/>
      <c r="O269" s="2393"/>
      <c r="P269" s="2393"/>
      <c r="Q269" s="562">
        <f>SUMIF(T270:T271,"i",Q270:Q271)</f>
        <v>0</v>
      </c>
      <c r="R269" s="1021"/>
      <c r="S269" s="1801" t="s">
        <v>756</v>
      </c>
      <c r="T269" s="721" t="s">
        <v>757</v>
      </c>
      <c r="U269" s="2391">
        <v>1</v>
      </c>
      <c r="V269" s="2391" t="str">
        <f>INDEX(B_FHD_FLAG_INDEX_1,1,MATCH(A266,B_FHD_FLAG_DIFFERENTIATION,0))</f>
        <v>отсутствует</v>
      </c>
      <c r="W269" s="1164"/>
      <c r="X269" s="1164"/>
      <c r="Y269" s="1164"/>
      <c r="Z269" s="1164"/>
      <c r="AA269" s="1640"/>
      <c r="AB269" s="1164"/>
      <c r="AC269" s="2392"/>
      <c r="AD269" s="633"/>
      <c r="AE269" s="1164"/>
      <c r="AF269" s="1164"/>
      <c r="AG269" s="1640"/>
      <c r="AH269" s="1640"/>
      <c r="AI269" s="1640"/>
      <c r="AJ269" s="1640"/>
      <c r="AK269" s="1640"/>
      <c r="AL269" s="1640"/>
      <c r="AM269" s="1640"/>
      <c r="AN269" s="1640"/>
      <c r="AO269" s="1640"/>
      <c r="AP269" s="1640"/>
      <c r="AQ269" s="1640"/>
      <c r="AR269" s="1640"/>
      <c r="AS269" s="1640"/>
      <c r="AT269" s="1640"/>
      <c r="AU269" s="1640"/>
      <c r="AV269" s="1640"/>
      <c r="AW269" s="1640"/>
      <c r="AX269" s="1640"/>
      <c r="AY269" s="1640"/>
      <c r="AZ269" s="1640"/>
      <c r="BA269" s="1640"/>
      <c r="BB269" s="1640"/>
      <c r="BC269" s="1640"/>
      <c r="BD269" s="1640"/>
      <c r="BE269" s="1640"/>
      <c r="BF269" s="1640"/>
      <c r="BG269" s="1640"/>
      <c r="BH269" s="1640"/>
      <c r="BI269" s="1640"/>
      <c r="BJ269" s="1640"/>
      <c r="BK269" s="1640"/>
      <c r="BL269" s="1640"/>
      <c r="BM269" s="1640"/>
      <c r="BN269" s="1640"/>
      <c r="BO269" s="1640"/>
      <c r="BP269" s="1640"/>
      <c r="BQ269" s="1640"/>
      <c r="BR269" s="1640"/>
      <c r="BS269" s="1640"/>
      <c r="BT269" s="1640"/>
      <c r="BU269" s="1640"/>
      <c r="BV269" s="1164"/>
      <c r="BW269" s="1164"/>
      <c r="BX269" s="1164"/>
      <c r="BY269" s="1164"/>
      <c r="BZ269" s="1164"/>
      <c r="CA269" s="1164"/>
      <c r="CB269" s="1164"/>
      <c r="CC269" s="1164"/>
      <c r="CD269" s="1164"/>
      <c r="CE269" s="1164"/>
      <c r="CF269" s="1851"/>
    </row>
    <row customHeight="1" ht="11.25" hidden="1">
      <c r="A270" s="1796"/>
      <c r="B270" s="1640"/>
      <c r="C270" s="1640"/>
      <c r="D270" s="2596"/>
      <c r="E270" s="639"/>
      <c r="F270" s="639">
        <v>0</v>
      </c>
      <c r="G270" s="639"/>
      <c r="H270" s="639"/>
      <c r="I270" s="639"/>
      <c r="J270" s="639"/>
      <c r="K270" s="639"/>
      <c r="L270" s="639"/>
      <c r="M270" s="639"/>
      <c r="N270" s="639"/>
      <c r="O270" s="639"/>
      <c r="P270" s="639"/>
      <c r="Q270" s="639"/>
      <c r="R270" s="639"/>
      <c r="S270" s="640"/>
      <c r="T270" s="722"/>
      <c r="U270" s="2391"/>
      <c r="V270" s="2391"/>
      <c r="W270" s="1640"/>
      <c r="X270" s="1640"/>
      <c r="Y270" s="1640"/>
      <c r="Z270" s="1640"/>
      <c r="AA270" s="1640"/>
      <c r="AB270" s="1164"/>
      <c r="AC270" s="2392"/>
      <c r="AD270" s="633"/>
      <c r="AE270" s="1164"/>
      <c r="AF270" s="1164"/>
      <c r="AG270" s="1640"/>
      <c r="AH270" s="1640"/>
      <c r="AI270" s="1640"/>
      <c r="AJ270" s="1640"/>
      <c r="AK270" s="1640"/>
      <c r="AL270" s="1640"/>
      <c r="AM270" s="1640"/>
      <c r="AN270" s="1640"/>
      <c r="AO270" s="1640"/>
      <c r="AP270" s="1640"/>
      <c r="AQ270" s="1640"/>
      <c r="AR270" s="1640"/>
      <c r="AS270" s="1640"/>
      <c r="AT270" s="1640"/>
      <c r="AU270" s="1640"/>
      <c r="AV270" s="1640"/>
      <c r="AW270" s="1640"/>
      <c r="AX270" s="1640"/>
      <c r="AY270" s="1640"/>
      <c r="AZ270" s="1640"/>
      <c r="BA270" s="1640"/>
      <c r="BB270" s="1640"/>
      <c r="BC270" s="1640"/>
      <c r="BD270" s="1640"/>
      <c r="BE270" s="1640"/>
      <c r="BF270" s="1640"/>
      <c r="BG270" s="1640"/>
      <c r="BH270" s="1640"/>
      <c r="BI270" s="1640"/>
      <c r="BJ270" s="1640"/>
      <c r="BK270" s="1640"/>
      <c r="BL270" s="1640"/>
      <c r="BM270" s="1640"/>
      <c r="BN270" s="1640"/>
      <c r="BO270" s="1640"/>
      <c r="BP270" s="1640"/>
      <c r="BQ270" s="1640"/>
      <c r="BR270" s="1640"/>
      <c r="BS270" s="1640"/>
      <c r="BT270" s="1640"/>
      <c r="BU270" s="1640"/>
      <c r="BV270" s="1640"/>
      <c r="BW270" s="1640"/>
      <c r="BX270" s="1640"/>
      <c r="BY270" s="1640"/>
      <c r="BZ270" s="1640"/>
      <c r="CA270" s="1640"/>
      <c r="CB270" s="1640"/>
      <c r="CC270" s="1640"/>
      <c r="CD270" s="1640"/>
      <c r="CE270" s="1640"/>
      <c r="CF270" s="1851"/>
    </row>
    <row customHeight="1" ht="11.25" hidden="1">
      <c r="A271" s="1809"/>
      <c r="B271" s="1164"/>
      <c r="C271" s="416"/>
      <c r="D271" s="2596"/>
      <c r="E271" s="653" t="s">
        <v>22</v>
      </c>
      <c r="F271" s="1172" t="s">
        <v>22</v>
      </c>
      <c r="G271" s="1172" t="s">
        <v>760</v>
      </c>
      <c r="H271" s="655" t="s">
        <v>22</v>
      </c>
      <c r="I271" s="655"/>
      <c r="J271" s="655"/>
      <c r="K271" s="655"/>
      <c r="L271" s="655"/>
      <c r="M271" s="655"/>
      <c r="N271" s="655"/>
      <c r="O271" s="655"/>
      <c r="P271" s="655"/>
      <c r="Q271" s="655"/>
      <c r="R271" s="656"/>
      <c r="S271" s="657"/>
      <c r="T271" s="722"/>
      <c r="U271" s="2391"/>
      <c r="V271" s="2391"/>
      <c r="W271" s="1164"/>
      <c r="X271" s="1164"/>
      <c r="Y271" s="1164"/>
      <c r="Z271" s="1164"/>
      <c r="AA271" s="1640"/>
      <c r="AB271" s="1164"/>
      <c r="AC271" s="2392"/>
      <c r="AD271" s="633"/>
      <c r="AE271" s="1164"/>
      <c r="AF271" s="1164"/>
      <c r="AG271" s="1640"/>
      <c r="AH271" s="1640"/>
      <c r="AI271" s="1640"/>
      <c r="AJ271" s="1640"/>
      <c r="AK271" s="1640"/>
      <c r="AL271" s="1640"/>
      <c r="AM271" s="1640"/>
      <c r="AN271" s="1640"/>
      <c r="AO271" s="1640"/>
      <c r="AP271" s="1640"/>
      <c r="AQ271" s="1640"/>
      <c r="AR271" s="1640"/>
      <c r="AS271" s="1640"/>
      <c r="AT271" s="1640"/>
      <c r="AU271" s="1640"/>
      <c r="AV271" s="1640"/>
      <c r="AW271" s="1640"/>
      <c r="AX271" s="1640"/>
      <c r="AY271" s="1640"/>
      <c r="AZ271" s="1640"/>
      <c r="BA271" s="1640"/>
      <c r="BB271" s="1640"/>
      <c r="BC271" s="1640"/>
      <c r="BD271" s="1640"/>
      <c r="BE271" s="1640"/>
      <c r="BF271" s="1640"/>
      <c r="BG271" s="1640"/>
      <c r="BH271" s="1640"/>
      <c r="BI271" s="1640"/>
      <c r="BJ271" s="1640"/>
      <c r="BK271" s="1640"/>
      <c r="BL271" s="1640"/>
      <c r="BM271" s="1640"/>
      <c r="BN271" s="1640"/>
      <c r="BO271" s="1640"/>
      <c r="BP271" s="1640"/>
      <c r="BQ271" s="1640"/>
      <c r="BR271" s="1640"/>
      <c r="BS271" s="1640"/>
      <c r="BT271" s="1640"/>
      <c r="BU271" s="1640"/>
      <c r="BV271" s="1164"/>
      <c r="BW271" s="1164"/>
      <c r="BX271" s="1164"/>
      <c r="BY271" s="1164"/>
      <c r="BZ271" s="1164"/>
      <c r="CA271" s="1164"/>
      <c r="CB271" s="1164"/>
      <c r="CC271" s="1164"/>
      <c r="CD271" s="1164"/>
      <c r="CE271" s="1164"/>
      <c r="CF271" s="1851"/>
    </row>
    <row customHeight="1" ht="24.75" hidden="1">
      <c r="A272" s="1809"/>
      <c r="B272" s="1164"/>
      <c r="C272" s="416"/>
      <c r="D272" s="2596"/>
      <c r="E272" s="2393" t="s">
        <v>758</v>
      </c>
      <c r="F272" s="2393"/>
      <c r="G272" s="2393"/>
      <c r="H272" s="2393"/>
      <c r="I272" s="2393"/>
      <c r="J272" s="2393"/>
      <c r="K272" s="2393"/>
      <c r="L272" s="2393"/>
      <c r="M272" s="2393"/>
      <c r="N272" s="2393"/>
      <c r="O272" s="2393"/>
      <c r="P272" s="2393"/>
      <c r="Q272" s="562">
        <f>SUMIF(T273:T274,"i",Q273:Q274)</f>
        <v>0</v>
      </c>
      <c r="R272" s="1021"/>
      <c r="S272" s="1801" t="s">
        <v>759</v>
      </c>
      <c r="T272" s="721" t="s">
        <v>757</v>
      </c>
      <c r="U272" s="2391">
        <v>1</v>
      </c>
      <c r="V272" s="2391" t="str">
        <f>INDEX(B_FHD_FLAG_INDEX_2,1,MATCH(A266,B_FHD_FLAG_DIFFERENTIATION,0))</f>
        <v>отсутствует</v>
      </c>
      <c r="W272" s="1164"/>
      <c r="X272" s="1164"/>
      <c r="Y272" s="1164"/>
      <c r="Z272" s="1164"/>
      <c r="AA272" s="1640"/>
      <c r="AB272" s="1164"/>
      <c r="AC272" s="1799"/>
      <c r="AD272" s="633"/>
      <c r="AE272" s="1164"/>
      <c r="AF272" s="1164"/>
      <c r="AG272" s="1640"/>
      <c r="AH272" s="1640"/>
      <c r="AI272" s="1640"/>
      <c r="AJ272" s="1640"/>
      <c r="AK272" s="1640"/>
      <c r="AL272" s="1640"/>
      <c r="AM272" s="1640"/>
      <c r="AN272" s="1640"/>
      <c r="AO272" s="1640"/>
      <c r="AP272" s="1640"/>
      <c r="AQ272" s="1640"/>
      <c r="AR272" s="1640"/>
      <c r="AS272" s="1640"/>
      <c r="AT272" s="1640"/>
      <c r="AU272" s="1640"/>
      <c r="AV272" s="1640"/>
      <c r="AW272" s="1640"/>
      <c r="AX272" s="1640"/>
      <c r="AY272" s="1640"/>
      <c r="AZ272" s="1640"/>
      <c r="BA272" s="1640"/>
      <c r="BB272" s="1640"/>
      <c r="BC272" s="1640"/>
      <c r="BD272" s="1640"/>
      <c r="BE272" s="1640"/>
      <c r="BF272" s="1640"/>
      <c r="BG272" s="1640"/>
      <c r="BH272" s="1640"/>
      <c r="BI272" s="1640"/>
      <c r="BJ272" s="1640"/>
      <c r="BK272" s="1640"/>
      <c r="BL272" s="1640"/>
      <c r="BM272" s="1640"/>
      <c r="BN272" s="1640"/>
      <c r="BO272" s="1640"/>
      <c r="BP272" s="1640"/>
      <c r="BQ272" s="1640"/>
      <c r="BR272" s="1640"/>
      <c r="BS272" s="1640"/>
      <c r="BT272" s="1640"/>
      <c r="BU272" s="1640"/>
      <c r="BV272" s="1164"/>
      <c r="BW272" s="1164"/>
      <c r="BX272" s="1164"/>
      <c r="BY272" s="1164"/>
      <c r="BZ272" s="1164"/>
      <c r="CA272" s="1164"/>
      <c r="CB272" s="1164"/>
      <c r="CC272" s="1164"/>
      <c r="CD272" s="1164"/>
      <c r="CE272" s="1164"/>
      <c r="CF272" s="1851"/>
    </row>
    <row customHeight="1" ht="11.25" hidden="1">
      <c r="A273" s="1796"/>
      <c r="B273" s="1640"/>
      <c r="C273" s="1640"/>
      <c r="D273" s="2596"/>
      <c r="E273" s="639"/>
      <c r="F273" s="639">
        <v>0</v>
      </c>
      <c r="G273" s="639"/>
      <c r="H273" s="639"/>
      <c r="I273" s="639"/>
      <c r="J273" s="639"/>
      <c r="K273" s="639"/>
      <c r="L273" s="639"/>
      <c r="M273" s="639"/>
      <c r="N273" s="639"/>
      <c r="O273" s="639"/>
      <c r="P273" s="639"/>
      <c r="Q273" s="639"/>
      <c r="R273" s="639"/>
      <c r="S273" s="640"/>
      <c r="T273" s="722"/>
      <c r="U273" s="2391"/>
      <c r="V273" s="2391"/>
      <c r="W273" s="1640"/>
      <c r="X273" s="1640"/>
      <c r="Y273" s="1640"/>
      <c r="Z273" s="1640"/>
      <c r="AA273" s="1640"/>
      <c r="AB273" s="1164"/>
      <c r="AC273" s="1799"/>
      <c r="AD273" s="633"/>
      <c r="AE273" s="1164"/>
      <c r="AF273" s="1164"/>
      <c r="AG273" s="1640"/>
      <c r="AH273" s="1640"/>
      <c r="AI273" s="1640"/>
      <c r="AJ273" s="1640"/>
      <c r="AK273" s="1640"/>
      <c r="AL273" s="1640"/>
      <c r="AM273" s="1640"/>
      <c r="AN273" s="1640"/>
      <c r="AO273" s="1640"/>
      <c r="AP273" s="1640"/>
      <c r="AQ273" s="1640"/>
      <c r="AR273" s="1640"/>
      <c r="AS273" s="1640"/>
      <c r="AT273" s="1640"/>
      <c r="AU273" s="1640"/>
      <c r="AV273" s="1640"/>
      <c r="AW273" s="1640"/>
      <c r="AX273" s="1640"/>
      <c r="AY273" s="1640"/>
      <c r="AZ273" s="1640"/>
      <c r="BA273" s="1640"/>
      <c r="BB273" s="1640"/>
      <c r="BC273" s="1640"/>
      <c r="BD273" s="1640"/>
      <c r="BE273" s="1640"/>
      <c r="BF273" s="1640"/>
      <c r="BG273" s="1640"/>
      <c r="BH273" s="1640"/>
      <c r="BI273" s="1640"/>
      <c r="BJ273" s="1640"/>
      <c r="BK273" s="1640"/>
      <c r="BL273" s="1640"/>
      <c r="BM273" s="1640"/>
      <c r="BN273" s="1640"/>
      <c r="BO273" s="1640"/>
      <c r="BP273" s="1640"/>
      <c r="BQ273" s="1640"/>
      <c r="BR273" s="1640"/>
      <c r="BS273" s="1640"/>
      <c r="BT273" s="1640"/>
      <c r="BU273" s="1640"/>
      <c r="BV273" s="1640"/>
      <c r="BW273" s="1640"/>
      <c r="BX273" s="1640"/>
      <c r="BY273" s="1640"/>
      <c r="BZ273" s="1640"/>
      <c r="CA273" s="1640"/>
      <c r="CB273" s="1640"/>
      <c r="CC273" s="1640"/>
      <c r="CD273" s="1640"/>
      <c r="CE273" s="1640"/>
      <c r="CF273" s="1851"/>
    </row>
    <row customHeight="1" ht="11.25" hidden="1">
      <c r="A274" s="1809"/>
      <c r="B274" s="1164"/>
      <c r="C274" s="416"/>
      <c r="D274" s="2597"/>
      <c r="E274" s="653" t="s">
        <v>22</v>
      </c>
      <c r="F274" s="1172" t="s">
        <v>22</v>
      </c>
      <c r="G274" s="1172" t="s">
        <v>760</v>
      </c>
      <c r="H274" s="655" t="s">
        <v>22</v>
      </c>
      <c r="I274" s="655"/>
      <c r="J274" s="655"/>
      <c r="K274" s="655"/>
      <c r="L274" s="655"/>
      <c r="M274" s="655"/>
      <c r="N274" s="655"/>
      <c r="O274" s="655"/>
      <c r="P274" s="655"/>
      <c r="Q274" s="655"/>
      <c r="R274" s="656"/>
      <c r="S274" s="657"/>
      <c r="T274" s="722"/>
      <c r="U274" s="2391"/>
      <c r="V274" s="2391"/>
      <c r="W274" s="1164"/>
      <c r="X274" s="1164"/>
      <c r="Y274" s="1164"/>
      <c r="Z274" s="1164"/>
      <c r="AA274" s="1640"/>
      <c r="AB274" s="1164"/>
      <c r="AC274" s="1799"/>
      <c r="AD274" s="633"/>
      <c r="AE274" s="1164"/>
      <c r="AF274" s="1164"/>
      <c r="AG274" s="1640"/>
      <c r="AH274" s="1640"/>
      <c r="AI274" s="1640"/>
      <c r="AJ274" s="1640"/>
      <c r="AK274" s="1640"/>
      <c r="AL274" s="1640"/>
      <c r="AM274" s="1640"/>
      <c r="AN274" s="1640"/>
      <c r="AO274" s="1640"/>
      <c r="AP274" s="1640"/>
      <c r="AQ274" s="1640"/>
      <c r="AR274" s="1640"/>
      <c r="AS274" s="1640"/>
      <c r="AT274" s="1640"/>
      <c r="AU274" s="1640"/>
      <c r="AV274" s="1640"/>
      <c r="AW274" s="1640"/>
      <c r="AX274" s="1640"/>
      <c r="AY274" s="1640"/>
      <c r="AZ274" s="1640"/>
      <c r="BA274" s="1640"/>
      <c r="BB274" s="1640"/>
      <c r="BC274" s="1640"/>
      <c r="BD274" s="1640"/>
      <c r="BE274" s="1640"/>
      <c r="BF274" s="1640"/>
      <c r="BG274" s="1640"/>
      <c r="BH274" s="1640"/>
      <c r="BI274" s="1640"/>
      <c r="BJ274" s="1640"/>
      <c r="BK274" s="1640"/>
      <c r="BL274" s="1640"/>
      <c r="BM274" s="1640"/>
      <c r="BN274" s="1640"/>
      <c r="BO274" s="1640"/>
      <c r="BP274" s="1640"/>
      <c r="BQ274" s="1640"/>
      <c r="BR274" s="1640"/>
      <c r="BS274" s="1640"/>
      <c r="BT274" s="1640"/>
      <c r="BU274" s="1640"/>
      <c r="BV274" s="1164"/>
      <c r="BW274" s="1164"/>
      <c r="BX274" s="1164"/>
      <c r="BY274" s="1164"/>
      <c r="BZ274" s="1164"/>
      <c r="CA274" s="1164"/>
      <c r="CB274" s="1164"/>
      <c r="CC274" s="1164"/>
      <c r="CD274" s="1164"/>
      <c r="CE274" s="1164"/>
      <c r="CF274" s="1851"/>
    </row>
    <row customHeight="1" ht="15" hidden="1">
      <c r="A275" s="627" t="s">
        <v>240</v>
      </c>
      <c r="B275" s="628"/>
      <c r="C275" s="628" t="s">
        <v>22</v>
      </c>
      <c r="D275" s="2595" t="s">
        <v>788</v>
      </c>
      <c r="E275" s="2394" t="s">
        <v>173</v>
      </c>
      <c r="F275" s="2395"/>
      <c r="G275" s="2396"/>
      <c r="H275" s="2400" t="str">
        <f>IF(A275="","",INDEX(DIFFERENTIATION_UNMERGE_VD,MATCH(A275,DIFFERENTIATION_ID_DIFF,0)))</f>
        <v>Подключение (технологическое присоединение) к централизованной системе водоснабжения</v>
      </c>
      <c r="I275" s="2400"/>
      <c r="J275" s="2400"/>
      <c r="K275" s="2400"/>
      <c r="L275" s="2400"/>
      <c r="M275" s="2400"/>
      <c r="N275" s="2400"/>
      <c r="O275" s="2400"/>
      <c r="P275" s="2400"/>
      <c r="Q275" s="2400"/>
      <c r="R275" s="2400"/>
      <c r="S275" s="723"/>
      <c r="T275" s="720"/>
      <c r="U275" s="629"/>
      <c r="V275" s="629"/>
      <c r="W275" s="630"/>
      <c r="X275" s="630"/>
      <c r="Y275" s="630"/>
      <c r="Z275" s="630"/>
      <c r="AA275" s="631"/>
      <c r="AB275" s="632"/>
      <c r="AC275" s="2392"/>
      <c r="AD275" s="633"/>
      <c r="AE275" s="634" t="s">
        <v>22</v>
      </c>
      <c r="AF275" s="634"/>
      <c r="AG275" s="635" t="s">
        <v>754</v>
      </c>
      <c r="AH275" s="636">
        <v>3</v>
      </c>
      <c r="AI275" s="629"/>
      <c r="AJ275" s="629"/>
      <c r="AK275" s="629"/>
      <c r="AL275" s="629"/>
      <c r="AM275" s="629"/>
      <c r="AN275" s="629"/>
      <c r="AO275" s="629"/>
      <c r="AP275" s="629"/>
      <c r="AQ275" s="629"/>
      <c r="AR275" s="629"/>
      <c r="AS275" s="629"/>
      <c r="AT275" s="629"/>
      <c r="AU275" s="629"/>
      <c r="AV275" s="629"/>
      <c r="AW275" s="629"/>
      <c r="AX275" s="629"/>
      <c r="AY275" s="629"/>
      <c r="AZ275" s="629"/>
      <c r="BA275" s="629"/>
      <c r="BB275" s="629"/>
      <c r="BC275" s="629"/>
      <c r="BD275" s="629"/>
      <c r="BE275" s="629"/>
      <c r="BF275" s="629"/>
      <c r="BG275" s="629"/>
      <c r="BH275" s="629"/>
      <c r="BI275" s="629"/>
      <c r="BJ275" s="629"/>
      <c r="BK275" s="629"/>
      <c r="BL275" s="629"/>
      <c r="BM275" s="629"/>
      <c r="BN275" s="629"/>
      <c r="BO275" s="629"/>
      <c r="BP275" s="629"/>
      <c r="BQ275" s="629"/>
      <c r="BR275" s="629"/>
      <c r="BS275" s="629"/>
      <c r="BT275" s="629"/>
      <c r="BU275" s="629"/>
      <c r="BV275" s="630"/>
      <c r="BW275" s="630"/>
      <c r="BX275" s="630"/>
      <c r="BY275" s="630"/>
      <c r="BZ275" s="630"/>
      <c r="CA275" s="630"/>
      <c r="CB275" s="630"/>
      <c r="CC275" s="630"/>
      <c r="CD275" s="630"/>
      <c r="CE275" s="630"/>
      <c r="CF275" s="1851"/>
    </row>
    <row customHeight="1" ht="15" hidden="1">
      <c r="A276" s="627"/>
      <c r="B276" s="628"/>
      <c r="C276" s="628"/>
      <c r="D276" s="2596"/>
      <c r="E276" s="2394" t="s">
        <v>702</v>
      </c>
      <c r="F276" s="2395"/>
      <c r="G276" s="2396"/>
      <c r="H276" s="2400" t="str">
        <f>IF(A275="","",INDEX(DIFFERENTIATION_UNMERGE_AREA,MATCH(A275,DIFFERENTIATION_ID_DIFF,0)))</f>
        <v>Территория 9</v>
      </c>
      <c r="I276" s="2400"/>
      <c r="J276" s="2400"/>
      <c r="K276" s="2400"/>
      <c r="L276" s="2400"/>
      <c r="M276" s="2400"/>
      <c r="N276" s="2400"/>
      <c r="O276" s="2400"/>
      <c r="P276" s="2400"/>
      <c r="Q276" s="2400"/>
      <c r="R276" s="2400"/>
      <c r="S276" s="723"/>
      <c r="T276" s="720"/>
      <c r="U276" s="629"/>
      <c r="V276" s="629"/>
      <c r="W276" s="630"/>
      <c r="X276" s="630"/>
      <c r="Y276" s="630"/>
      <c r="Z276" s="630"/>
      <c r="AA276" s="631"/>
      <c r="AB276" s="632"/>
      <c r="AC276" s="2392"/>
      <c r="AD276" s="633"/>
      <c r="AE276" s="634"/>
      <c r="AF276" s="634"/>
      <c r="AG276" s="635"/>
      <c r="AH276" s="636"/>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29"/>
      <c r="BO276" s="629"/>
      <c r="BP276" s="629"/>
      <c r="BQ276" s="629"/>
      <c r="BR276" s="629"/>
      <c r="BS276" s="629"/>
      <c r="BT276" s="629"/>
      <c r="BU276" s="629"/>
      <c r="BV276" s="630"/>
      <c r="BW276" s="630"/>
      <c r="BX276" s="630"/>
      <c r="BY276" s="630"/>
      <c r="BZ276" s="630"/>
      <c r="CA276" s="630"/>
      <c r="CB276" s="630"/>
      <c r="CC276" s="630"/>
      <c r="CD276" s="630"/>
      <c r="CE276" s="630"/>
      <c r="CF276" s="1851"/>
    </row>
    <row customHeight="1" ht="15" hidden="1">
      <c r="A277" s="627"/>
      <c r="B277" s="628"/>
      <c r="C277" s="628"/>
      <c r="D277" s="2596"/>
      <c r="E277" s="2394" t="s">
        <v>703</v>
      </c>
      <c r="F277" s="2395"/>
      <c r="G277" s="2396"/>
      <c r="H277" s="2400" t="str">
        <f>IF(A275="","",INDEX(DIFFERENTIATION_UNMERGE_SYSTEM,MATCH(A275,DIFFERENTIATION_ID_DIFF,0)))</f>
        <v>Городской округ Спасск-Дальний</v>
      </c>
      <c r="I277" s="2400"/>
      <c r="J277" s="2400"/>
      <c r="K277" s="2400"/>
      <c r="L277" s="2400"/>
      <c r="M277" s="2400"/>
      <c r="N277" s="2400"/>
      <c r="O277" s="2400"/>
      <c r="P277" s="2400"/>
      <c r="Q277" s="2400"/>
      <c r="R277" s="2400"/>
      <c r="S277" s="723"/>
      <c r="T277" s="720"/>
      <c r="U277" s="629"/>
      <c r="V277" s="629"/>
      <c r="W277" s="630"/>
      <c r="X277" s="630"/>
      <c r="Y277" s="630"/>
      <c r="Z277" s="630"/>
      <c r="AA277" s="631"/>
      <c r="AB277" s="632"/>
      <c r="AC277" s="2392"/>
      <c r="AD277" s="633"/>
      <c r="AE277" s="634"/>
      <c r="AF277" s="634"/>
      <c r="AG277" s="635"/>
      <c r="AH277" s="636"/>
      <c r="AI277" s="629"/>
      <c r="AJ277" s="629"/>
      <c r="AK277" s="629"/>
      <c r="AL277" s="629"/>
      <c r="AM277" s="629"/>
      <c r="AN277" s="629"/>
      <c r="AO277" s="629"/>
      <c r="AP277" s="629"/>
      <c r="AQ277" s="629"/>
      <c r="AR277" s="629"/>
      <c r="AS277" s="629"/>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29"/>
      <c r="BT277" s="629"/>
      <c r="BU277" s="629"/>
      <c r="BV277" s="630"/>
      <c r="BW277" s="630"/>
      <c r="BX277" s="630"/>
      <c r="BY277" s="630"/>
      <c r="BZ277" s="630"/>
      <c r="CA277" s="630"/>
      <c r="CB277" s="630"/>
      <c r="CC277" s="630"/>
      <c r="CD277" s="630"/>
      <c r="CE277" s="630"/>
      <c r="CF277" s="1851"/>
    </row>
    <row customHeight="1" ht="24.75" hidden="1">
      <c r="A278" s="1809"/>
      <c r="B278" s="1164"/>
      <c r="C278" s="416"/>
      <c r="D278" s="2596"/>
      <c r="E278" s="2393" t="s">
        <v>755</v>
      </c>
      <c r="F278" s="2393"/>
      <c r="G278" s="2393"/>
      <c r="H278" s="2393"/>
      <c r="I278" s="2393"/>
      <c r="J278" s="2393"/>
      <c r="K278" s="2393"/>
      <c r="L278" s="2393"/>
      <c r="M278" s="2393"/>
      <c r="N278" s="2393"/>
      <c r="O278" s="2393"/>
      <c r="P278" s="2393"/>
      <c r="Q278" s="562">
        <f>SUMIF(T279:T280,"i",Q279:Q280)</f>
        <v>0</v>
      </c>
      <c r="R278" s="1021"/>
      <c r="S278" s="1801" t="s">
        <v>756</v>
      </c>
      <c r="T278" s="721" t="s">
        <v>757</v>
      </c>
      <c r="U278" s="2391">
        <v>1</v>
      </c>
      <c r="V278" s="2391" t="str">
        <f>INDEX(B_FHD_FLAG_INDEX_1,1,MATCH(A275,B_FHD_FLAG_DIFFERENTIATION,0))</f>
        <v>отсутствует</v>
      </c>
      <c r="W278" s="1164"/>
      <c r="X278" s="1164"/>
      <c r="Y278" s="1164"/>
      <c r="Z278" s="1164"/>
      <c r="AA278" s="1640"/>
      <c r="AB278" s="1164"/>
      <c r="AC278" s="2392"/>
      <c r="AD278" s="633"/>
      <c r="AE278" s="1164"/>
      <c r="AF278" s="1164"/>
      <c r="AG278" s="1640"/>
      <c r="AH278" s="1640"/>
      <c r="AI278" s="1640"/>
      <c r="AJ278" s="1640"/>
      <c r="AK278" s="1640"/>
      <c r="AL278" s="1640"/>
      <c r="AM278" s="1640"/>
      <c r="AN278" s="1640"/>
      <c r="AO278" s="1640"/>
      <c r="AP278" s="1640"/>
      <c r="AQ278" s="1640"/>
      <c r="AR278" s="1640"/>
      <c r="AS278" s="1640"/>
      <c r="AT278" s="1640"/>
      <c r="AU278" s="1640"/>
      <c r="AV278" s="1640"/>
      <c r="AW278" s="1640"/>
      <c r="AX278" s="1640"/>
      <c r="AY278" s="1640"/>
      <c r="AZ278" s="1640"/>
      <c r="BA278" s="1640"/>
      <c r="BB278" s="1640"/>
      <c r="BC278" s="1640"/>
      <c r="BD278" s="1640"/>
      <c r="BE278" s="1640"/>
      <c r="BF278" s="1640"/>
      <c r="BG278" s="1640"/>
      <c r="BH278" s="1640"/>
      <c r="BI278" s="1640"/>
      <c r="BJ278" s="1640"/>
      <c r="BK278" s="1640"/>
      <c r="BL278" s="1640"/>
      <c r="BM278" s="1640"/>
      <c r="BN278" s="1640"/>
      <c r="BO278" s="1640"/>
      <c r="BP278" s="1640"/>
      <c r="BQ278" s="1640"/>
      <c r="BR278" s="1640"/>
      <c r="BS278" s="1640"/>
      <c r="BT278" s="1640"/>
      <c r="BU278" s="1640"/>
      <c r="BV278" s="1164"/>
      <c r="BW278" s="1164"/>
      <c r="BX278" s="1164"/>
      <c r="BY278" s="1164"/>
      <c r="BZ278" s="1164"/>
      <c r="CA278" s="1164"/>
      <c r="CB278" s="1164"/>
      <c r="CC278" s="1164"/>
      <c r="CD278" s="1164"/>
      <c r="CE278" s="1164"/>
      <c r="CF278" s="1851"/>
    </row>
    <row customHeight="1" ht="11.25" hidden="1">
      <c r="A279" s="1796"/>
      <c r="B279" s="1640"/>
      <c r="C279" s="1640"/>
      <c r="D279" s="2596"/>
      <c r="E279" s="639"/>
      <c r="F279" s="639">
        <v>0</v>
      </c>
      <c r="G279" s="639"/>
      <c r="H279" s="639"/>
      <c r="I279" s="639"/>
      <c r="J279" s="639"/>
      <c r="K279" s="639"/>
      <c r="L279" s="639"/>
      <c r="M279" s="639"/>
      <c r="N279" s="639"/>
      <c r="O279" s="639"/>
      <c r="P279" s="639"/>
      <c r="Q279" s="639"/>
      <c r="R279" s="639"/>
      <c r="S279" s="640"/>
      <c r="T279" s="722"/>
      <c r="U279" s="2391"/>
      <c r="V279" s="2391"/>
      <c r="W279" s="1640"/>
      <c r="X279" s="1640"/>
      <c r="Y279" s="1640"/>
      <c r="Z279" s="1640"/>
      <c r="AA279" s="1640"/>
      <c r="AB279" s="1164"/>
      <c r="AC279" s="2392"/>
      <c r="AD279" s="633"/>
      <c r="AE279" s="1164"/>
      <c r="AF279" s="1164"/>
      <c r="AG279" s="1640"/>
      <c r="AH279" s="1640"/>
      <c r="AI279" s="1640"/>
      <c r="AJ279" s="1640"/>
      <c r="AK279" s="1640"/>
      <c r="AL279" s="1640"/>
      <c r="AM279" s="1640"/>
      <c r="AN279" s="1640"/>
      <c r="AO279" s="1640"/>
      <c r="AP279" s="1640"/>
      <c r="AQ279" s="1640"/>
      <c r="AR279" s="1640"/>
      <c r="AS279" s="1640"/>
      <c r="AT279" s="1640"/>
      <c r="AU279" s="1640"/>
      <c r="AV279" s="1640"/>
      <c r="AW279" s="1640"/>
      <c r="AX279" s="1640"/>
      <c r="AY279" s="1640"/>
      <c r="AZ279" s="1640"/>
      <c r="BA279" s="1640"/>
      <c r="BB279" s="1640"/>
      <c r="BC279" s="1640"/>
      <c r="BD279" s="1640"/>
      <c r="BE279" s="1640"/>
      <c r="BF279" s="1640"/>
      <c r="BG279" s="1640"/>
      <c r="BH279" s="1640"/>
      <c r="BI279" s="1640"/>
      <c r="BJ279" s="1640"/>
      <c r="BK279" s="1640"/>
      <c r="BL279" s="1640"/>
      <c r="BM279" s="1640"/>
      <c r="BN279" s="1640"/>
      <c r="BO279" s="1640"/>
      <c r="BP279" s="1640"/>
      <c r="BQ279" s="1640"/>
      <c r="BR279" s="1640"/>
      <c r="BS279" s="1640"/>
      <c r="BT279" s="1640"/>
      <c r="BU279" s="1640"/>
      <c r="BV279" s="1640"/>
      <c r="BW279" s="1640"/>
      <c r="BX279" s="1640"/>
      <c r="BY279" s="1640"/>
      <c r="BZ279" s="1640"/>
      <c r="CA279" s="1640"/>
      <c r="CB279" s="1640"/>
      <c r="CC279" s="1640"/>
      <c r="CD279" s="1640"/>
      <c r="CE279" s="1640"/>
      <c r="CF279" s="1851"/>
    </row>
    <row customHeight="1" ht="11.25" hidden="1">
      <c r="A280" s="1809"/>
      <c r="B280" s="1164"/>
      <c r="C280" s="416"/>
      <c r="D280" s="2596"/>
      <c r="E280" s="653" t="s">
        <v>22</v>
      </c>
      <c r="F280" s="1172" t="s">
        <v>22</v>
      </c>
      <c r="G280" s="1172" t="s">
        <v>760</v>
      </c>
      <c r="H280" s="655" t="s">
        <v>22</v>
      </c>
      <c r="I280" s="655"/>
      <c r="J280" s="655"/>
      <c r="K280" s="655"/>
      <c r="L280" s="655"/>
      <c r="M280" s="655"/>
      <c r="N280" s="655"/>
      <c r="O280" s="655"/>
      <c r="P280" s="655"/>
      <c r="Q280" s="655"/>
      <c r="R280" s="656"/>
      <c r="S280" s="657"/>
      <c r="T280" s="722"/>
      <c r="U280" s="2391"/>
      <c r="V280" s="2391"/>
      <c r="W280" s="1164"/>
      <c r="X280" s="1164"/>
      <c r="Y280" s="1164"/>
      <c r="Z280" s="1164"/>
      <c r="AA280" s="1640"/>
      <c r="AB280" s="1164"/>
      <c r="AC280" s="2392"/>
      <c r="AD280" s="633"/>
      <c r="AE280" s="1164"/>
      <c r="AF280" s="1164"/>
      <c r="AG280" s="1640"/>
      <c r="AH280" s="1640"/>
      <c r="AI280" s="1640"/>
      <c r="AJ280" s="1640"/>
      <c r="AK280" s="1640"/>
      <c r="AL280" s="1640"/>
      <c r="AM280" s="1640"/>
      <c r="AN280" s="1640"/>
      <c r="AO280" s="1640"/>
      <c r="AP280" s="1640"/>
      <c r="AQ280" s="1640"/>
      <c r="AR280" s="1640"/>
      <c r="AS280" s="1640"/>
      <c r="AT280" s="1640"/>
      <c r="AU280" s="1640"/>
      <c r="AV280" s="1640"/>
      <c r="AW280" s="1640"/>
      <c r="AX280" s="1640"/>
      <c r="AY280" s="1640"/>
      <c r="AZ280" s="1640"/>
      <c r="BA280" s="1640"/>
      <c r="BB280" s="1640"/>
      <c r="BC280" s="1640"/>
      <c r="BD280" s="1640"/>
      <c r="BE280" s="1640"/>
      <c r="BF280" s="1640"/>
      <c r="BG280" s="1640"/>
      <c r="BH280" s="1640"/>
      <c r="BI280" s="1640"/>
      <c r="BJ280" s="1640"/>
      <c r="BK280" s="1640"/>
      <c r="BL280" s="1640"/>
      <c r="BM280" s="1640"/>
      <c r="BN280" s="1640"/>
      <c r="BO280" s="1640"/>
      <c r="BP280" s="1640"/>
      <c r="BQ280" s="1640"/>
      <c r="BR280" s="1640"/>
      <c r="BS280" s="1640"/>
      <c r="BT280" s="1640"/>
      <c r="BU280" s="1640"/>
      <c r="BV280" s="1164"/>
      <c r="BW280" s="1164"/>
      <c r="BX280" s="1164"/>
      <c r="BY280" s="1164"/>
      <c r="BZ280" s="1164"/>
      <c r="CA280" s="1164"/>
      <c r="CB280" s="1164"/>
      <c r="CC280" s="1164"/>
      <c r="CD280" s="1164"/>
      <c r="CE280" s="1164"/>
      <c r="CF280" s="1851"/>
    </row>
    <row customHeight="1" ht="24.75" hidden="1">
      <c r="A281" s="1809"/>
      <c r="B281" s="1164"/>
      <c r="C281" s="416"/>
      <c r="D281" s="2596"/>
      <c r="E281" s="2393" t="s">
        <v>758</v>
      </c>
      <c r="F281" s="2393"/>
      <c r="G281" s="2393"/>
      <c r="H281" s="2393"/>
      <c r="I281" s="2393"/>
      <c r="J281" s="2393"/>
      <c r="K281" s="2393"/>
      <c r="L281" s="2393"/>
      <c r="M281" s="2393"/>
      <c r="N281" s="2393"/>
      <c r="O281" s="2393"/>
      <c r="P281" s="2393"/>
      <c r="Q281" s="562">
        <f>SUMIF(T282:T283,"i",Q282:Q283)</f>
        <v>0</v>
      </c>
      <c r="R281" s="1021"/>
      <c r="S281" s="1801" t="s">
        <v>759</v>
      </c>
      <c r="T281" s="721" t="s">
        <v>757</v>
      </c>
      <c r="U281" s="2391">
        <v>1</v>
      </c>
      <c r="V281" s="2391" t="str">
        <f>INDEX(B_FHD_FLAG_INDEX_2,1,MATCH(A275,B_FHD_FLAG_DIFFERENTIATION,0))</f>
        <v>отсутствует</v>
      </c>
      <c r="W281" s="1164"/>
      <c r="X281" s="1164"/>
      <c r="Y281" s="1164"/>
      <c r="Z281" s="1164"/>
      <c r="AA281" s="1640"/>
      <c r="AB281" s="1164"/>
      <c r="AC281" s="1799"/>
      <c r="AD281" s="633"/>
      <c r="AE281" s="1164"/>
      <c r="AF281" s="1164"/>
      <c r="AG281" s="1640"/>
      <c r="AH281" s="1640"/>
      <c r="AI281" s="1640"/>
      <c r="AJ281" s="1640"/>
      <c r="AK281" s="1640"/>
      <c r="AL281" s="1640"/>
      <c r="AM281" s="1640"/>
      <c r="AN281" s="1640"/>
      <c r="AO281" s="1640"/>
      <c r="AP281" s="1640"/>
      <c r="AQ281" s="1640"/>
      <c r="AR281" s="1640"/>
      <c r="AS281" s="1640"/>
      <c r="AT281" s="1640"/>
      <c r="AU281" s="1640"/>
      <c r="AV281" s="1640"/>
      <c r="AW281" s="1640"/>
      <c r="AX281" s="1640"/>
      <c r="AY281" s="1640"/>
      <c r="AZ281" s="1640"/>
      <c r="BA281" s="1640"/>
      <c r="BB281" s="1640"/>
      <c r="BC281" s="1640"/>
      <c r="BD281" s="1640"/>
      <c r="BE281" s="1640"/>
      <c r="BF281" s="1640"/>
      <c r="BG281" s="1640"/>
      <c r="BH281" s="1640"/>
      <c r="BI281" s="1640"/>
      <c r="BJ281" s="1640"/>
      <c r="BK281" s="1640"/>
      <c r="BL281" s="1640"/>
      <c r="BM281" s="1640"/>
      <c r="BN281" s="1640"/>
      <c r="BO281" s="1640"/>
      <c r="BP281" s="1640"/>
      <c r="BQ281" s="1640"/>
      <c r="BR281" s="1640"/>
      <c r="BS281" s="1640"/>
      <c r="BT281" s="1640"/>
      <c r="BU281" s="1640"/>
      <c r="BV281" s="1164"/>
      <c r="BW281" s="1164"/>
      <c r="BX281" s="1164"/>
      <c r="BY281" s="1164"/>
      <c r="BZ281" s="1164"/>
      <c r="CA281" s="1164"/>
      <c r="CB281" s="1164"/>
      <c r="CC281" s="1164"/>
      <c r="CD281" s="1164"/>
      <c r="CE281" s="1164"/>
      <c r="CF281" s="1851"/>
    </row>
    <row customHeight="1" ht="11.25" hidden="1">
      <c r="A282" s="1796"/>
      <c r="B282" s="1640"/>
      <c r="C282" s="1640"/>
      <c r="D282" s="2596"/>
      <c r="E282" s="639"/>
      <c r="F282" s="639">
        <v>0</v>
      </c>
      <c r="G282" s="639"/>
      <c r="H282" s="639"/>
      <c r="I282" s="639"/>
      <c r="J282" s="639"/>
      <c r="K282" s="639"/>
      <c r="L282" s="639"/>
      <c r="M282" s="639"/>
      <c r="N282" s="639"/>
      <c r="O282" s="639"/>
      <c r="P282" s="639"/>
      <c r="Q282" s="639"/>
      <c r="R282" s="639"/>
      <c r="S282" s="640"/>
      <c r="T282" s="722"/>
      <c r="U282" s="2391"/>
      <c r="V282" s="2391"/>
      <c r="W282" s="1640"/>
      <c r="X282" s="1640"/>
      <c r="Y282" s="1640"/>
      <c r="Z282" s="1640"/>
      <c r="AA282" s="1640"/>
      <c r="AB282" s="1164"/>
      <c r="AC282" s="1799"/>
      <c r="AD282" s="633"/>
      <c r="AE282" s="1164"/>
      <c r="AF282" s="1164"/>
      <c r="AG282" s="1640"/>
      <c r="AH282" s="1640"/>
      <c r="AI282" s="1640"/>
      <c r="AJ282" s="1640"/>
      <c r="AK282" s="1640"/>
      <c r="AL282" s="1640"/>
      <c r="AM282" s="1640"/>
      <c r="AN282" s="1640"/>
      <c r="AO282" s="1640"/>
      <c r="AP282" s="1640"/>
      <c r="AQ282" s="1640"/>
      <c r="AR282" s="1640"/>
      <c r="AS282" s="1640"/>
      <c r="AT282" s="1640"/>
      <c r="AU282" s="1640"/>
      <c r="AV282" s="1640"/>
      <c r="AW282" s="1640"/>
      <c r="AX282" s="1640"/>
      <c r="AY282" s="1640"/>
      <c r="AZ282" s="1640"/>
      <c r="BA282" s="1640"/>
      <c r="BB282" s="1640"/>
      <c r="BC282" s="1640"/>
      <c r="BD282" s="1640"/>
      <c r="BE282" s="1640"/>
      <c r="BF282" s="1640"/>
      <c r="BG282" s="1640"/>
      <c r="BH282" s="1640"/>
      <c r="BI282" s="1640"/>
      <c r="BJ282" s="1640"/>
      <c r="BK282" s="1640"/>
      <c r="BL282" s="1640"/>
      <c r="BM282" s="1640"/>
      <c r="BN282" s="1640"/>
      <c r="BO282" s="1640"/>
      <c r="BP282" s="1640"/>
      <c r="BQ282" s="1640"/>
      <c r="BR282" s="1640"/>
      <c r="BS282" s="1640"/>
      <c r="BT282" s="1640"/>
      <c r="BU282" s="1640"/>
      <c r="BV282" s="1640"/>
      <c r="BW282" s="1640"/>
      <c r="BX282" s="1640"/>
      <c r="BY282" s="1640"/>
      <c r="BZ282" s="1640"/>
      <c r="CA282" s="1640"/>
      <c r="CB282" s="1640"/>
      <c r="CC282" s="1640"/>
      <c r="CD282" s="1640"/>
      <c r="CE282" s="1640"/>
      <c r="CF282" s="1851"/>
    </row>
    <row customHeight="1" ht="11.25" hidden="1">
      <c r="A283" s="1809"/>
      <c r="B283" s="1164"/>
      <c r="C283" s="416"/>
      <c r="D283" s="2597"/>
      <c r="E283" s="653" t="s">
        <v>22</v>
      </c>
      <c r="F283" s="1172" t="s">
        <v>22</v>
      </c>
      <c r="G283" s="1172" t="s">
        <v>760</v>
      </c>
      <c r="H283" s="655" t="s">
        <v>22</v>
      </c>
      <c r="I283" s="655"/>
      <c r="J283" s="655"/>
      <c r="K283" s="655"/>
      <c r="L283" s="655"/>
      <c r="M283" s="655"/>
      <c r="N283" s="655"/>
      <c r="O283" s="655"/>
      <c r="P283" s="655"/>
      <c r="Q283" s="655"/>
      <c r="R283" s="656"/>
      <c r="S283" s="657"/>
      <c r="T283" s="722"/>
      <c r="U283" s="2391"/>
      <c r="V283" s="2391"/>
      <c r="W283" s="1164"/>
      <c r="X283" s="1164"/>
      <c r="Y283" s="1164"/>
      <c r="Z283" s="1164"/>
      <c r="AA283" s="1640"/>
      <c r="AB283" s="1164"/>
      <c r="AC283" s="1799"/>
      <c r="AD283" s="633"/>
      <c r="AE283" s="1164"/>
      <c r="AF283" s="1164"/>
      <c r="AG283" s="1640"/>
      <c r="AH283" s="1640"/>
      <c r="AI283" s="1640"/>
      <c r="AJ283" s="1640"/>
      <c r="AK283" s="1640"/>
      <c r="AL283" s="1640"/>
      <c r="AM283" s="1640"/>
      <c r="AN283" s="1640"/>
      <c r="AO283" s="1640"/>
      <c r="AP283" s="1640"/>
      <c r="AQ283" s="1640"/>
      <c r="AR283" s="1640"/>
      <c r="AS283" s="1640"/>
      <c r="AT283" s="1640"/>
      <c r="AU283" s="1640"/>
      <c r="AV283" s="1640"/>
      <c r="AW283" s="1640"/>
      <c r="AX283" s="1640"/>
      <c r="AY283" s="1640"/>
      <c r="AZ283" s="1640"/>
      <c r="BA283" s="1640"/>
      <c r="BB283" s="1640"/>
      <c r="BC283" s="1640"/>
      <c r="BD283" s="1640"/>
      <c r="BE283" s="1640"/>
      <c r="BF283" s="1640"/>
      <c r="BG283" s="1640"/>
      <c r="BH283" s="1640"/>
      <c r="BI283" s="1640"/>
      <c r="BJ283" s="1640"/>
      <c r="BK283" s="1640"/>
      <c r="BL283" s="1640"/>
      <c r="BM283" s="1640"/>
      <c r="BN283" s="1640"/>
      <c r="BO283" s="1640"/>
      <c r="BP283" s="1640"/>
      <c r="BQ283" s="1640"/>
      <c r="BR283" s="1640"/>
      <c r="BS283" s="1640"/>
      <c r="BT283" s="1640"/>
      <c r="BU283" s="1640"/>
      <c r="BV283" s="1164"/>
      <c r="BW283" s="1164"/>
      <c r="BX283" s="1164"/>
      <c r="BY283" s="1164"/>
      <c r="BZ283" s="1164"/>
      <c r="CA283" s="1164"/>
      <c r="CB283" s="1164"/>
      <c r="CC283" s="1164"/>
      <c r="CD283" s="1164"/>
      <c r="CE283" s="1164"/>
      <c r="CF283" s="1851"/>
    </row>
    <row customHeight="1" ht="15" hidden="1">
      <c r="A284" s="627" t="s">
        <v>242</v>
      </c>
      <c r="B284" s="628"/>
      <c r="C284" s="628" t="s">
        <v>22</v>
      </c>
      <c r="D284" s="2595" t="s">
        <v>789</v>
      </c>
      <c r="E284" s="2394" t="s">
        <v>173</v>
      </c>
      <c r="F284" s="2395"/>
      <c r="G284" s="2396"/>
      <c r="H284" s="2400" t="str">
        <f>IF(A284="","",INDEX(DIFFERENTIATION_UNMERGE_VD,MATCH(A284,DIFFERENTIATION_ID_DIFF,0)))</f>
        <v>Подключение (технологическое присоединение) к централизованной системе водоснабжения</v>
      </c>
      <c r="I284" s="2400"/>
      <c r="J284" s="2400"/>
      <c r="K284" s="2400"/>
      <c r="L284" s="2400"/>
      <c r="M284" s="2400"/>
      <c r="N284" s="2400"/>
      <c r="O284" s="2400"/>
      <c r="P284" s="2400"/>
      <c r="Q284" s="2400"/>
      <c r="R284" s="2400"/>
      <c r="S284" s="723"/>
      <c r="T284" s="720"/>
      <c r="U284" s="629"/>
      <c r="V284" s="629"/>
      <c r="W284" s="630"/>
      <c r="X284" s="630"/>
      <c r="Y284" s="630"/>
      <c r="Z284" s="630"/>
      <c r="AA284" s="631"/>
      <c r="AB284" s="632"/>
      <c r="AC284" s="2392"/>
      <c r="AD284" s="633"/>
      <c r="AE284" s="634" t="s">
        <v>22</v>
      </c>
      <c r="AF284" s="634"/>
      <c r="AG284" s="635" t="s">
        <v>754</v>
      </c>
      <c r="AH284" s="636">
        <v>3</v>
      </c>
      <c r="AI284" s="629"/>
      <c r="AJ284" s="629"/>
      <c r="AK284" s="629"/>
      <c r="AL284" s="629"/>
      <c r="AM284" s="629"/>
      <c r="AN284" s="629"/>
      <c r="AO284" s="629"/>
      <c r="AP284" s="629"/>
      <c r="AQ284" s="629"/>
      <c r="AR284" s="629"/>
      <c r="AS284" s="629"/>
      <c r="AT284" s="629"/>
      <c r="AU284" s="629"/>
      <c r="AV284" s="629"/>
      <c r="AW284" s="629"/>
      <c r="AX284" s="629"/>
      <c r="AY284" s="629"/>
      <c r="AZ284" s="629"/>
      <c r="BA284" s="629"/>
      <c r="BB284" s="629"/>
      <c r="BC284" s="629"/>
      <c r="BD284" s="629"/>
      <c r="BE284" s="629"/>
      <c r="BF284" s="629"/>
      <c r="BG284" s="629"/>
      <c r="BH284" s="629"/>
      <c r="BI284" s="629"/>
      <c r="BJ284" s="629"/>
      <c r="BK284" s="629"/>
      <c r="BL284" s="629"/>
      <c r="BM284" s="629"/>
      <c r="BN284" s="629"/>
      <c r="BO284" s="629"/>
      <c r="BP284" s="629"/>
      <c r="BQ284" s="629"/>
      <c r="BR284" s="629"/>
      <c r="BS284" s="629"/>
      <c r="BT284" s="629"/>
      <c r="BU284" s="629"/>
      <c r="BV284" s="630"/>
      <c r="BW284" s="630"/>
      <c r="BX284" s="630"/>
      <c r="BY284" s="630"/>
      <c r="BZ284" s="630"/>
      <c r="CA284" s="630"/>
      <c r="CB284" s="630"/>
      <c r="CC284" s="630"/>
      <c r="CD284" s="630"/>
      <c r="CE284" s="630"/>
      <c r="CF284" s="1851"/>
    </row>
    <row customHeight="1" ht="15" hidden="1">
      <c r="A285" s="627"/>
      <c r="B285" s="628"/>
      <c r="C285" s="628"/>
      <c r="D285" s="2596"/>
      <c r="E285" s="2394" t="s">
        <v>702</v>
      </c>
      <c r="F285" s="2395"/>
      <c r="G285" s="2396"/>
      <c r="H285" s="2400" t="str">
        <f>IF(A284="","",INDEX(DIFFERENTIATION_UNMERGE_AREA,MATCH(A284,DIFFERENTIATION_ID_DIFF,0)))</f>
        <v>Территория 6</v>
      </c>
      <c r="I285" s="2400"/>
      <c r="J285" s="2400"/>
      <c r="K285" s="2400"/>
      <c r="L285" s="2400"/>
      <c r="M285" s="2400"/>
      <c r="N285" s="2400"/>
      <c r="O285" s="2400"/>
      <c r="P285" s="2400"/>
      <c r="Q285" s="2400"/>
      <c r="R285" s="2400"/>
      <c r="S285" s="723"/>
      <c r="T285" s="720"/>
      <c r="U285" s="629"/>
      <c r="V285" s="629"/>
      <c r="W285" s="630"/>
      <c r="X285" s="630"/>
      <c r="Y285" s="630"/>
      <c r="Z285" s="630"/>
      <c r="AA285" s="631"/>
      <c r="AB285" s="632"/>
      <c r="AC285" s="2392"/>
      <c r="AD285" s="633"/>
      <c r="AE285" s="634"/>
      <c r="AF285" s="634"/>
      <c r="AG285" s="635"/>
      <c r="AH285" s="636"/>
      <c r="AI285" s="629"/>
      <c r="AJ285" s="629"/>
      <c r="AK285" s="629"/>
      <c r="AL285" s="629"/>
      <c r="AM285" s="629"/>
      <c r="AN285" s="629"/>
      <c r="AO285" s="629"/>
      <c r="AP285" s="629"/>
      <c r="AQ285" s="629"/>
      <c r="AR285" s="629"/>
      <c r="AS285" s="629"/>
      <c r="AT285" s="629"/>
      <c r="AU285" s="629"/>
      <c r="AV285" s="629"/>
      <c r="AW285" s="629"/>
      <c r="AX285" s="629"/>
      <c r="AY285" s="629"/>
      <c r="AZ285" s="629"/>
      <c r="BA285" s="629"/>
      <c r="BB285" s="629"/>
      <c r="BC285" s="629"/>
      <c r="BD285" s="629"/>
      <c r="BE285" s="629"/>
      <c r="BF285" s="629"/>
      <c r="BG285" s="629"/>
      <c r="BH285" s="629"/>
      <c r="BI285" s="629"/>
      <c r="BJ285" s="629"/>
      <c r="BK285" s="629"/>
      <c r="BL285" s="629"/>
      <c r="BM285" s="629"/>
      <c r="BN285" s="629"/>
      <c r="BO285" s="629"/>
      <c r="BP285" s="629"/>
      <c r="BQ285" s="629"/>
      <c r="BR285" s="629"/>
      <c r="BS285" s="629"/>
      <c r="BT285" s="629"/>
      <c r="BU285" s="629"/>
      <c r="BV285" s="630"/>
      <c r="BW285" s="630"/>
      <c r="BX285" s="630"/>
      <c r="BY285" s="630"/>
      <c r="BZ285" s="630"/>
      <c r="CA285" s="630"/>
      <c r="CB285" s="630"/>
      <c r="CC285" s="630"/>
      <c r="CD285" s="630"/>
      <c r="CE285" s="630"/>
      <c r="CF285" s="1851"/>
    </row>
    <row customHeight="1" ht="15" hidden="1">
      <c r="A286" s="627"/>
      <c r="B286" s="628"/>
      <c r="C286" s="628"/>
      <c r="D286" s="2596"/>
      <c r="E286" s="2394" t="s">
        <v>703</v>
      </c>
      <c r="F286" s="2395"/>
      <c r="G286" s="2396"/>
      <c r="H286" s="2400" t="str">
        <f>IF(A284="","",INDEX(DIFFERENTIATION_UNMERGE_SYSTEM,MATCH(A284,DIFFERENTIATION_ID_DIFF,0)))</f>
        <v>Дальнегорский ГО</v>
      </c>
      <c r="I286" s="2400"/>
      <c r="J286" s="2400"/>
      <c r="K286" s="2400"/>
      <c r="L286" s="2400"/>
      <c r="M286" s="2400"/>
      <c r="N286" s="2400"/>
      <c r="O286" s="2400"/>
      <c r="P286" s="2400"/>
      <c r="Q286" s="2400"/>
      <c r="R286" s="2400"/>
      <c r="S286" s="723"/>
      <c r="T286" s="720"/>
      <c r="U286" s="629"/>
      <c r="V286" s="629"/>
      <c r="W286" s="630"/>
      <c r="X286" s="630"/>
      <c r="Y286" s="630"/>
      <c r="Z286" s="630"/>
      <c r="AA286" s="631"/>
      <c r="AB286" s="632"/>
      <c r="AC286" s="2392"/>
      <c r="AD286" s="633"/>
      <c r="AE286" s="634"/>
      <c r="AF286" s="634"/>
      <c r="AG286" s="635"/>
      <c r="AH286" s="636"/>
      <c r="AI286" s="629"/>
      <c r="AJ286" s="629"/>
      <c r="AK286" s="629"/>
      <c r="AL286" s="629"/>
      <c r="AM286" s="629"/>
      <c r="AN286" s="629"/>
      <c r="AO286" s="629"/>
      <c r="AP286" s="629"/>
      <c r="AQ286" s="629"/>
      <c r="AR286" s="629"/>
      <c r="AS286" s="629"/>
      <c r="AT286" s="629"/>
      <c r="AU286" s="629"/>
      <c r="AV286" s="629"/>
      <c r="AW286" s="629"/>
      <c r="AX286" s="629"/>
      <c r="AY286" s="629"/>
      <c r="AZ286" s="629"/>
      <c r="BA286" s="629"/>
      <c r="BB286" s="629"/>
      <c r="BC286" s="629"/>
      <c r="BD286" s="629"/>
      <c r="BE286" s="629"/>
      <c r="BF286" s="629"/>
      <c r="BG286" s="629"/>
      <c r="BH286" s="629"/>
      <c r="BI286" s="629"/>
      <c r="BJ286" s="629"/>
      <c r="BK286" s="629"/>
      <c r="BL286" s="629"/>
      <c r="BM286" s="629"/>
      <c r="BN286" s="629"/>
      <c r="BO286" s="629"/>
      <c r="BP286" s="629"/>
      <c r="BQ286" s="629"/>
      <c r="BR286" s="629"/>
      <c r="BS286" s="629"/>
      <c r="BT286" s="629"/>
      <c r="BU286" s="629"/>
      <c r="BV286" s="630"/>
      <c r="BW286" s="630"/>
      <c r="BX286" s="630"/>
      <c r="BY286" s="630"/>
      <c r="BZ286" s="630"/>
      <c r="CA286" s="630"/>
      <c r="CB286" s="630"/>
      <c r="CC286" s="630"/>
      <c r="CD286" s="630"/>
      <c r="CE286" s="630"/>
      <c r="CF286" s="1851"/>
    </row>
    <row customHeight="1" ht="24.75" hidden="1">
      <c r="A287" s="1809"/>
      <c r="B287" s="1164"/>
      <c r="C287" s="416"/>
      <c r="D287" s="2596"/>
      <c r="E287" s="2393" t="s">
        <v>755</v>
      </c>
      <c r="F287" s="2393"/>
      <c r="G287" s="2393"/>
      <c r="H287" s="2393"/>
      <c r="I287" s="2393"/>
      <c r="J287" s="2393"/>
      <c r="K287" s="2393"/>
      <c r="L287" s="2393"/>
      <c r="M287" s="2393"/>
      <c r="N287" s="2393"/>
      <c r="O287" s="2393"/>
      <c r="P287" s="2393"/>
      <c r="Q287" s="562">
        <f>SUMIF(T288:T289,"i",Q288:Q289)</f>
        <v>0</v>
      </c>
      <c r="R287" s="1021"/>
      <c r="S287" s="1801" t="s">
        <v>756</v>
      </c>
      <c r="T287" s="721" t="s">
        <v>757</v>
      </c>
      <c r="U287" s="2391">
        <v>1</v>
      </c>
      <c r="V287" s="2391" t="str">
        <f>INDEX(B_FHD_FLAG_INDEX_1,1,MATCH(A284,B_FHD_FLAG_DIFFERENTIATION,0))</f>
        <v>отсутствует</v>
      </c>
      <c r="W287" s="1164"/>
      <c r="X287" s="1164"/>
      <c r="Y287" s="1164"/>
      <c r="Z287" s="1164"/>
      <c r="AA287" s="1640"/>
      <c r="AB287" s="1164"/>
      <c r="AC287" s="2392"/>
      <c r="AD287" s="633"/>
      <c r="AE287" s="1164"/>
      <c r="AF287" s="1164"/>
      <c r="AG287" s="1640"/>
      <c r="AH287" s="1640"/>
      <c r="AI287" s="1640"/>
      <c r="AJ287" s="1640"/>
      <c r="AK287" s="1640"/>
      <c r="AL287" s="1640"/>
      <c r="AM287" s="1640"/>
      <c r="AN287" s="1640"/>
      <c r="AO287" s="1640"/>
      <c r="AP287" s="1640"/>
      <c r="AQ287" s="1640"/>
      <c r="AR287" s="1640"/>
      <c r="AS287" s="1640"/>
      <c r="AT287" s="1640"/>
      <c r="AU287" s="1640"/>
      <c r="AV287" s="1640"/>
      <c r="AW287" s="1640"/>
      <c r="AX287" s="1640"/>
      <c r="AY287" s="1640"/>
      <c r="AZ287" s="1640"/>
      <c r="BA287" s="1640"/>
      <c r="BB287" s="1640"/>
      <c r="BC287" s="1640"/>
      <c r="BD287" s="1640"/>
      <c r="BE287" s="1640"/>
      <c r="BF287" s="1640"/>
      <c r="BG287" s="1640"/>
      <c r="BH287" s="1640"/>
      <c r="BI287" s="1640"/>
      <c r="BJ287" s="1640"/>
      <c r="BK287" s="1640"/>
      <c r="BL287" s="1640"/>
      <c r="BM287" s="1640"/>
      <c r="BN287" s="1640"/>
      <c r="BO287" s="1640"/>
      <c r="BP287" s="1640"/>
      <c r="BQ287" s="1640"/>
      <c r="BR287" s="1640"/>
      <c r="BS287" s="1640"/>
      <c r="BT287" s="1640"/>
      <c r="BU287" s="1640"/>
      <c r="BV287" s="1164"/>
      <c r="BW287" s="1164"/>
      <c r="BX287" s="1164"/>
      <c r="BY287" s="1164"/>
      <c r="BZ287" s="1164"/>
      <c r="CA287" s="1164"/>
      <c r="CB287" s="1164"/>
      <c r="CC287" s="1164"/>
      <c r="CD287" s="1164"/>
      <c r="CE287" s="1164"/>
      <c r="CF287" s="1851"/>
    </row>
    <row customHeight="1" ht="11.25" hidden="1">
      <c r="A288" s="1796"/>
      <c r="B288" s="1640"/>
      <c r="C288" s="1640"/>
      <c r="D288" s="2596"/>
      <c r="E288" s="639"/>
      <c r="F288" s="639">
        <v>0</v>
      </c>
      <c r="G288" s="639"/>
      <c r="H288" s="639"/>
      <c r="I288" s="639"/>
      <c r="J288" s="639"/>
      <c r="K288" s="639"/>
      <c r="L288" s="639"/>
      <c r="M288" s="639"/>
      <c r="N288" s="639"/>
      <c r="O288" s="639"/>
      <c r="P288" s="639"/>
      <c r="Q288" s="639"/>
      <c r="R288" s="639"/>
      <c r="S288" s="640"/>
      <c r="T288" s="722"/>
      <c r="U288" s="2391"/>
      <c r="V288" s="2391"/>
      <c r="W288" s="1640"/>
      <c r="X288" s="1640"/>
      <c r="Y288" s="1640"/>
      <c r="Z288" s="1640"/>
      <c r="AA288" s="1640"/>
      <c r="AB288" s="1164"/>
      <c r="AC288" s="2392"/>
      <c r="AD288" s="633"/>
      <c r="AE288" s="1164"/>
      <c r="AF288" s="1164"/>
      <c r="AG288" s="1640"/>
      <c r="AH288" s="1640"/>
      <c r="AI288" s="1640"/>
      <c r="AJ288" s="1640"/>
      <c r="AK288" s="1640"/>
      <c r="AL288" s="1640"/>
      <c r="AM288" s="1640"/>
      <c r="AN288" s="1640"/>
      <c r="AO288" s="1640"/>
      <c r="AP288" s="1640"/>
      <c r="AQ288" s="1640"/>
      <c r="AR288" s="1640"/>
      <c r="AS288" s="1640"/>
      <c r="AT288" s="1640"/>
      <c r="AU288" s="1640"/>
      <c r="AV288" s="1640"/>
      <c r="AW288" s="1640"/>
      <c r="AX288" s="1640"/>
      <c r="AY288" s="1640"/>
      <c r="AZ288" s="1640"/>
      <c r="BA288" s="1640"/>
      <c r="BB288" s="1640"/>
      <c r="BC288" s="1640"/>
      <c r="BD288" s="1640"/>
      <c r="BE288" s="1640"/>
      <c r="BF288" s="1640"/>
      <c r="BG288" s="1640"/>
      <c r="BH288" s="1640"/>
      <c r="BI288" s="1640"/>
      <c r="BJ288" s="1640"/>
      <c r="BK288" s="1640"/>
      <c r="BL288" s="1640"/>
      <c r="BM288" s="1640"/>
      <c r="BN288" s="1640"/>
      <c r="BO288" s="1640"/>
      <c r="BP288" s="1640"/>
      <c r="BQ288" s="1640"/>
      <c r="BR288" s="1640"/>
      <c r="BS288" s="1640"/>
      <c r="BT288" s="1640"/>
      <c r="BU288" s="1640"/>
      <c r="BV288" s="1640"/>
      <c r="BW288" s="1640"/>
      <c r="BX288" s="1640"/>
      <c r="BY288" s="1640"/>
      <c r="BZ288" s="1640"/>
      <c r="CA288" s="1640"/>
      <c r="CB288" s="1640"/>
      <c r="CC288" s="1640"/>
      <c r="CD288" s="1640"/>
      <c r="CE288" s="1640"/>
      <c r="CF288" s="1851"/>
    </row>
    <row customHeight="1" ht="11.25" hidden="1">
      <c r="A289" s="1809"/>
      <c r="B289" s="1164"/>
      <c r="C289" s="416"/>
      <c r="D289" s="2596"/>
      <c r="E289" s="653" t="s">
        <v>22</v>
      </c>
      <c r="F289" s="1172" t="s">
        <v>22</v>
      </c>
      <c r="G289" s="1172" t="s">
        <v>760</v>
      </c>
      <c r="H289" s="655" t="s">
        <v>22</v>
      </c>
      <c r="I289" s="655"/>
      <c r="J289" s="655"/>
      <c r="K289" s="655"/>
      <c r="L289" s="655"/>
      <c r="M289" s="655"/>
      <c r="N289" s="655"/>
      <c r="O289" s="655"/>
      <c r="P289" s="655"/>
      <c r="Q289" s="655"/>
      <c r="R289" s="656"/>
      <c r="S289" s="657"/>
      <c r="T289" s="722"/>
      <c r="U289" s="2391"/>
      <c r="V289" s="2391"/>
      <c r="W289" s="1164"/>
      <c r="X289" s="1164"/>
      <c r="Y289" s="1164"/>
      <c r="Z289" s="1164"/>
      <c r="AA289" s="1640"/>
      <c r="AB289" s="1164"/>
      <c r="AC289" s="2392"/>
      <c r="AD289" s="633"/>
      <c r="AE289" s="1164"/>
      <c r="AF289" s="1164"/>
      <c r="AG289" s="1640"/>
      <c r="AH289" s="1640"/>
      <c r="AI289" s="1640"/>
      <c r="AJ289" s="1640"/>
      <c r="AK289" s="1640"/>
      <c r="AL289" s="1640"/>
      <c r="AM289" s="1640"/>
      <c r="AN289" s="1640"/>
      <c r="AO289" s="1640"/>
      <c r="AP289" s="1640"/>
      <c r="AQ289" s="1640"/>
      <c r="AR289" s="1640"/>
      <c r="AS289" s="1640"/>
      <c r="AT289" s="1640"/>
      <c r="AU289" s="1640"/>
      <c r="AV289" s="1640"/>
      <c r="AW289" s="1640"/>
      <c r="AX289" s="1640"/>
      <c r="AY289" s="1640"/>
      <c r="AZ289" s="1640"/>
      <c r="BA289" s="1640"/>
      <c r="BB289" s="1640"/>
      <c r="BC289" s="1640"/>
      <c r="BD289" s="1640"/>
      <c r="BE289" s="1640"/>
      <c r="BF289" s="1640"/>
      <c r="BG289" s="1640"/>
      <c r="BH289" s="1640"/>
      <c r="BI289" s="1640"/>
      <c r="BJ289" s="1640"/>
      <c r="BK289" s="1640"/>
      <c r="BL289" s="1640"/>
      <c r="BM289" s="1640"/>
      <c r="BN289" s="1640"/>
      <c r="BO289" s="1640"/>
      <c r="BP289" s="1640"/>
      <c r="BQ289" s="1640"/>
      <c r="BR289" s="1640"/>
      <c r="BS289" s="1640"/>
      <c r="BT289" s="1640"/>
      <c r="BU289" s="1640"/>
      <c r="BV289" s="1164"/>
      <c r="BW289" s="1164"/>
      <c r="BX289" s="1164"/>
      <c r="BY289" s="1164"/>
      <c r="BZ289" s="1164"/>
      <c r="CA289" s="1164"/>
      <c r="CB289" s="1164"/>
      <c r="CC289" s="1164"/>
      <c r="CD289" s="1164"/>
      <c r="CE289" s="1164"/>
      <c r="CF289" s="1851"/>
    </row>
    <row customHeight="1" ht="24.75" hidden="1">
      <c r="A290" s="1809"/>
      <c r="B290" s="1164"/>
      <c r="C290" s="416"/>
      <c r="D290" s="2596"/>
      <c r="E290" s="2393" t="s">
        <v>758</v>
      </c>
      <c r="F290" s="2393"/>
      <c r="G290" s="2393"/>
      <c r="H290" s="2393"/>
      <c r="I290" s="2393"/>
      <c r="J290" s="2393"/>
      <c r="K290" s="2393"/>
      <c r="L290" s="2393"/>
      <c r="M290" s="2393"/>
      <c r="N290" s="2393"/>
      <c r="O290" s="2393"/>
      <c r="P290" s="2393"/>
      <c r="Q290" s="562">
        <f>SUMIF(T291:T292,"i",Q291:Q292)</f>
        <v>0</v>
      </c>
      <c r="R290" s="1021"/>
      <c r="S290" s="1801" t="s">
        <v>759</v>
      </c>
      <c r="T290" s="721" t="s">
        <v>757</v>
      </c>
      <c r="U290" s="2391">
        <v>1</v>
      </c>
      <c r="V290" s="2391" t="str">
        <f>INDEX(B_FHD_FLAG_INDEX_2,1,MATCH(A284,B_FHD_FLAG_DIFFERENTIATION,0))</f>
        <v>отсутствует</v>
      </c>
      <c r="W290" s="1164"/>
      <c r="X290" s="1164"/>
      <c r="Y290" s="1164"/>
      <c r="Z290" s="1164"/>
      <c r="AA290" s="1640"/>
      <c r="AB290" s="1164"/>
      <c r="AC290" s="1799"/>
      <c r="AD290" s="633"/>
      <c r="AE290" s="1164"/>
      <c r="AF290" s="1164"/>
      <c r="AG290" s="1640"/>
      <c r="AH290" s="1640"/>
      <c r="AI290" s="1640"/>
      <c r="AJ290" s="1640"/>
      <c r="AK290" s="1640"/>
      <c r="AL290" s="1640"/>
      <c r="AM290" s="1640"/>
      <c r="AN290" s="1640"/>
      <c r="AO290" s="1640"/>
      <c r="AP290" s="1640"/>
      <c r="AQ290" s="1640"/>
      <c r="AR290" s="1640"/>
      <c r="AS290" s="1640"/>
      <c r="AT290" s="1640"/>
      <c r="AU290" s="1640"/>
      <c r="AV290" s="1640"/>
      <c r="AW290" s="1640"/>
      <c r="AX290" s="1640"/>
      <c r="AY290" s="1640"/>
      <c r="AZ290" s="1640"/>
      <c r="BA290" s="1640"/>
      <c r="BB290" s="1640"/>
      <c r="BC290" s="1640"/>
      <c r="BD290" s="1640"/>
      <c r="BE290" s="1640"/>
      <c r="BF290" s="1640"/>
      <c r="BG290" s="1640"/>
      <c r="BH290" s="1640"/>
      <c r="BI290" s="1640"/>
      <c r="BJ290" s="1640"/>
      <c r="BK290" s="1640"/>
      <c r="BL290" s="1640"/>
      <c r="BM290" s="1640"/>
      <c r="BN290" s="1640"/>
      <c r="BO290" s="1640"/>
      <c r="BP290" s="1640"/>
      <c r="BQ290" s="1640"/>
      <c r="BR290" s="1640"/>
      <c r="BS290" s="1640"/>
      <c r="BT290" s="1640"/>
      <c r="BU290" s="1640"/>
      <c r="BV290" s="1164"/>
      <c r="BW290" s="1164"/>
      <c r="BX290" s="1164"/>
      <c r="BY290" s="1164"/>
      <c r="BZ290" s="1164"/>
      <c r="CA290" s="1164"/>
      <c r="CB290" s="1164"/>
      <c r="CC290" s="1164"/>
      <c r="CD290" s="1164"/>
      <c r="CE290" s="1164"/>
      <c r="CF290" s="1851"/>
    </row>
    <row customHeight="1" ht="11.25" hidden="1">
      <c r="A291" s="1796"/>
      <c r="B291" s="1640"/>
      <c r="C291" s="1640"/>
      <c r="D291" s="2596"/>
      <c r="E291" s="639"/>
      <c r="F291" s="639">
        <v>0</v>
      </c>
      <c r="G291" s="639"/>
      <c r="H291" s="639"/>
      <c r="I291" s="639"/>
      <c r="J291" s="639"/>
      <c r="K291" s="639"/>
      <c r="L291" s="639"/>
      <c r="M291" s="639"/>
      <c r="N291" s="639"/>
      <c r="O291" s="639"/>
      <c r="P291" s="639"/>
      <c r="Q291" s="639"/>
      <c r="R291" s="639"/>
      <c r="S291" s="640"/>
      <c r="T291" s="722"/>
      <c r="U291" s="2391"/>
      <c r="V291" s="2391"/>
      <c r="W291" s="1640"/>
      <c r="X291" s="1640"/>
      <c r="Y291" s="1640"/>
      <c r="Z291" s="1640"/>
      <c r="AA291" s="1640"/>
      <c r="AB291" s="1164"/>
      <c r="AC291" s="1799"/>
      <c r="AD291" s="633"/>
      <c r="AE291" s="1164"/>
      <c r="AF291" s="1164"/>
      <c r="AG291" s="1640"/>
      <c r="AH291" s="1640"/>
      <c r="AI291" s="1640"/>
      <c r="AJ291" s="1640"/>
      <c r="AK291" s="1640"/>
      <c r="AL291" s="1640"/>
      <c r="AM291" s="1640"/>
      <c r="AN291" s="1640"/>
      <c r="AO291" s="1640"/>
      <c r="AP291" s="1640"/>
      <c r="AQ291" s="1640"/>
      <c r="AR291" s="1640"/>
      <c r="AS291" s="1640"/>
      <c r="AT291" s="1640"/>
      <c r="AU291" s="1640"/>
      <c r="AV291" s="1640"/>
      <c r="AW291" s="1640"/>
      <c r="AX291" s="1640"/>
      <c r="AY291" s="1640"/>
      <c r="AZ291" s="1640"/>
      <c r="BA291" s="1640"/>
      <c r="BB291" s="1640"/>
      <c r="BC291" s="1640"/>
      <c r="BD291" s="1640"/>
      <c r="BE291" s="1640"/>
      <c r="BF291" s="1640"/>
      <c r="BG291" s="1640"/>
      <c r="BH291" s="1640"/>
      <c r="BI291" s="1640"/>
      <c r="BJ291" s="1640"/>
      <c r="BK291" s="1640"/>
      <c r="BL291" s="1640"/>
      <c r="BM291" s="1640"/>
      <c r="BN291" s="1640"/>
      <c r="BO291" s="1640"/>
      <c r="BP291" s="1640"/>
      <c r="BQ291" s="1640"/>
      <c r="BR291" s="1640"/>
      <c r="BS291" s="1640"/>
      <c r="BT291" s="1640"/>
      <c r="BU291" s="1640"/>
      <c r="BV291" s="1640"/>
      <c r="BW291" s="1640"/>
      <c r="BX291" s="1640"/>
      <c r="BY291" s="1640"/>
      <c r="BZ291" s="1640"/>
      <c r="CA291" s="1640"/>
      <c r="CB291" s="1640"/>
      <c r="CC291" s="1640"/>
      <c r="CD291" s="1640"/>
      <c r="CE291" s="1640"/>
      <c r="CF291" s="1851"/>
    </row>
    <row customHeight="1" ht="11.25" hidden="1">
      <c r="A292" s="1809"/>
      <c r="B292" s="1164"/>
      <c r="C292" s="416"/>
      <c r="D292" s="2597"/>
      <c r="E292" s="653" t="s">
        <v>22</v>
      </c>
      <c r="F292" s="1172" t="s">
        <v>22</v>
      </c>
      <c r="G292" s="1172" t="s">
        <v>760</v>
      </c>
      <c r="H292" s="655" t="s">
        <v>22</v>
      </c>
      <c r="I292" s="655"/>
      <c r="J292" s="655"/>
      <c r="K292" s="655"/>
      <c r="L292" s="655"/>
      <c r="M292" s="655"/>
      <c r="N292" s="655"/>
      <c r="O292" s="655"/>
      <c r="P292" s="655"/>
      <c r="Q292" s="655"/>
      <c r="R292" s="656"/>
      <c r="S292" s="657"/>
      <c r="T292" s="722"/>
      <c r="U292" s="2391"/>
      <c r="V292" s="2391"/>
      <c r="W292" s="1164"/>
      <c r="X292" s="1164"/>
      <c r="Y292" s="1164"/>
      <c r="Z292" s="1164"/>
      <c r="AA292" s="1640"/>
      <c r="AB292" s="1164"/>
      <c r="AC292" s="1799"/>
      <c r="AD292" s="633"/>
      <c r="AE292" s="1164"/>
      <c r="AF292" s="1164"/>
      <c r="AG292" s="1640"/>
      <c r="AH292" s="1640"/>
      <c r="AI292" s="1640"/>
      <c r="AJ292" s="1640"/>
      <c r="AK292" s="1640"/>
      <c r="AL292" s="1640"/>
      <c r="AM292" s="1640"/>
      <c r="AN292" s="1640"/>
      <c r="AO292" s="1640"/>
      <c r="AP292" s="1640"/>
      <c r="AQ292" s="1640"/>
      <c r="AR292" s="1640"/>
      <c r="AS292" s="1640"/>
      <c r="AT292" s="1640"/>
      <c r="AU292" s="1640"/>
      <c r="AV292" s="1640"/>
      <c r="AW292" s="1640"/>
      <c r="AX292" s="1640"/>
      <c r="AY292" s="1640"/>
      <c r="AZ292" s="1640"/>
      <c r="BA292" s="1640"/>
      <c r="BB292" s="1640"/>
      <c r="BC292" s="1640"/>
      <c r="BD292" s="1640"/>
      <c r="BE292" s="1640"/>
      <c r="BF292" s="1640"/>
      <c r="BG292" s="1640"/>
      <c r="BH292" s="1640"/>
      <c r="BI292" s="1640"/>
      <c r="BJ292" s="1640"/>
      <c r="BK292" s="1640"/>
      <c r="BL292" s="1640"/>
      <c r="BM292" s="1640"/>
      <c r="BN292" s="1640"/>
      <c r="BO292" s="1640"/>
      <c r="BP292" s="1640"/>
      <c r="BQ292" s="1640"/>
      <c r="BR292" s="1640"/>
      <c r="BS292" s="1640"/>
      <c r="BT292" s="1640"/>
      <c r="BU292" s="1640"/>
      <c r="BV292" s="1164"/>
      <c r="BW292" s="1164"/>
      <c r="BX292" s="1164"/>
      <c r="BY292" s="1164"/>
      <c r="BZ292" s="1164"/>
      <c r="CA292" s="1164"/>
      <c r="CB292" s="1164"/>
      <c r="CC292" s="1164"/>
      <c r="CD292" s="1164"/>
      <c r="CE292" s="1164"/>
      <c r="CF292" s="1851"/>
    </row>
    <row customHeight="1" ht="15" hidden="1">
      <c r="A293" s="627" t="s">
        <v>244</v>
      </c>
      <c r="B293" s="628"/>
      <c r="C293" s="628" t="s">
        <v>22</v>
      </c>
      <c r="D293" s="2595" t="s">
        <v>790</v>
      </c>
      <c r="E293" s="2394" t="s">
        <v>173</v>
      </c>
      <c r="F293" s="2395"/>
      <c r="G293" s="2396"/>
      <c r="H293" s="2400" t="str">
        <f>IF(A293="","",INDEX(DIFFERENTIATION_UNMERGE_VD,MATCH(A293,DIFFERENTIATION_ID_DIFF,0)))</f>
        <v>Подключение (технологическое присоединение) к централизованной системе водоснабжения</v>
      </c>
      <c r="I293" s="2400"/>
      <c r="J293" s="2400"/>
      <c r="K293" s="2400"/>
      <c r="L293" s="2400"/>
      <c r="M293" s="2400"/>
      <c r="N293" s="2400"/>
      <c r="O293" s="2400"/>
      <c r="P293" s="2400"/>
      <c r="Q293" s="2400"/>
      <c r="R293" s="2400"/>
      <c r="S293" s="723"/>
      <c r="T293" s="720"/>
      <c r="U293" s="629"/>
      <c r="V293" s="629"/>
      <c r="W293" s="630"/>
      <c r="X293" s="630"/>
      <c r="Y293" s="630"/>
      <c r="Z293" s="630"/>
      <c r="AA293" s="631"/>
      <c r="AB293" s="632"/>
      <c r="AC293" s="2392"/>
      <c r="AD293" s="633"/>
      <c r="AE293" s="634" t="s">
        <v>22</v>
      </c>
      <c r="AF293" s="634"/>
      <c r="AG293" s="635" t="s">
        <v>754</v>
      </c>
      <c r="AH293" s="636">
        <v>3</v>
      </c>
      <c r="AI293" s="629"/>
      <c r="AJ293" s="629"/>
      <c r="AK293" s="629"/>
      <c r="AL293" s="629"/>
      <c r="AM293" s="629"/>
      <c r="AN293" s="629"/>
      <c r="AO293" s="629"/>
      <c r="AP293" s="629"/>
      <c r="AQ293" s="629"/>
      <c r="AR293" s="629"/>
      <c r="AS293" s="629"/>
      <c r="AT293" s="629"/>
      <c r="AU293" s="629"/>
      <c r="AV293" s="629"/>
      <c r="AW293" s="629"/>
      <c r="AX293" s="629"/>
      <c r="AY293" s="629"/>
      <c r="AZ293" s="629"/>
      <c r="BA293" s="629"/>
      <c r="BB293" s="629"/>
      <c r="BC293" s="629"/>
      <c r="BD293" s="629"/>
      <c r="BE293" s="629"/>
      <c r="BF293" s="629"/>
      <c r="BG293" s="629"/>
      <c r="BH293" s="629"/>
      <c r="BI293" s="629"/>
      <c r="BJ293" s="629"/>
      <c r="BK293" s="629"/>
      <c r="BL293" s="629"/>
      <c r="BM293" s="629"/>
      <c r="BN293" s="629"/>
      <c r="BO293" s="629"/>
      <c r="BP293" s="629"/>
      <c r="BQ293" s="629"/>
      <c r="BR293" s="629"/>
      <c r="BS293" s="629"/>
      <c r="BT293" s="629"/>
      <c r="BU293" s="629"/>
      <c r="BV293" s="630"/>
      <c r="BW293" s="630"/>
      <c r="BX293" s="630"/>
      <c r="BY293" s="630"/>
      <c r="BZ293" s="630"/>
      <c r="CA293" s="630"/>
      <c r="CB293" s="630"/>
      <c r="CC293" s="630"/>
      <c r="CD293" s="630"/>
      <c r="CE293" s="630"/>
      <c r="CF293" s="1851"/>
    </row>
    <row customHeight="1" ht="15" hidden="1">
      <c r="A294" s="627"/>
      <c r="B294" s="628"/>
      <c r="C294" s="628"/>
      <c r="D294" s="2596"/>
      <c r="E294" s="2394" t="s">
        <v>702</v>
      </c>
      <c r="F294" s="2395"/>
      <c r="G294" s="2396"/>
      <c r="H294" s="2400" t="str">
        <f>IF(A293="","",INDEX(DIFFERENTIATION_UNMERGE_AREA,MATCH(A293,DIFFERENTIATION_ID_DIFF,0)))</f>
        <v>Территория 7</v>
      </c>
      <c r="I294" s="2400"/>
      <c r="J294" s="2400"/>
      <c r="K294" s="2400"/>
      <c r="L294" s="2400"/>
      <c r="M294" s="2400"/>
      <c r="N294" s="2400"/>
      <c r="O294" s="2400"/>
      <c r="P294" s="2400"/>
      <c r="Q294" s="2400"/>
      <c r="R294" s="2400"/>
      <c r="S294" s="723"/>
      <c r="T294" s="720"/>
      <c r="U294" s="629"/>
      <c r="V294" s="629"/>
      <c r="W294" s="630"/>
      <c r="X294" s="630"/>
      <c r="Y294" s="630"/>
      <c r="Z294" s="630"/>
      <c r="AA294" s="631"/>
      <c r="AB294" s="632"/>
      <c r="AC294" s="2392"/>
      <c r="AD294" s="633"/>
      <c r="AE294" s="634"/>
      <c r="AF294" s="634"/>
      <c r="AG294" s="635"/>
      <c r="AH294" s="636"/>
      <c r="AI294" s="629"/>
      <c r="AJ294" s="629"/>
      <c r="AK294" s="629"/>
      <c r="AL294" s="629"/>
      <c r="AM294" s="629"/>
      <c r="AN294" s="629"/>
      <c r="AO294" s="629"/>
      <c r="AP294" s="629"/>
      <c r="AQ294" s="629"/>
      <c r="AR294" s="629"/>
      <c r="AS294" s="629"/>
      <c r="AT294" s="629"/>
      <c r="AU294" s="629"/>
      <c r="AV294" s="629"/>
      <c r="AW294" s="629"/>
      <c r="AX294" s="629"/>
      <c r="AY294" s="629"/>
      <c r="AZ294" s="629"/>
      <c r="BA294" s="629"/>
      <c r="BB294" s="629"/>
      <c r="BC294" s="629"/>
      <c r="BD294" s="629"/>
      <c r="BE294" s="629"/>
      <c r="BF294" s="629"/>
      <c r="BG294" s="629"/>
      <c r="BH294" s="629"/>
      <c r="BI294" s="629"/>
      <c r="BJ294" s="629"/>
      <c r="BK294" s="629"/>
      <c r="BL294" s="629"/>
      <c r="BM294" s="629"/>
      <c r="BN294" s="629"/>
      <c r="BO294" s="629"/>
      <c r="BP294" s="629"/>
      <c r="BQ294" s="629"/>
      <c r="BR294" s="629"/>
      <c r="BS294" s="629"/>
      <c r="BT294" s="629"/>
      <c r="BU294" s="629"/>
      <c r="BV294" s="630"/>
      <c r="BW294" s="630"/>
      <c r="BX294" s="630"/>
      <c r="BY294" s="630"/>
      <c r="BZ294" s="630"/>
      <c r="CA294" s="630"/>
      <c r="CB294" s="630"/>
      <c r="CC294" s="630"/>
      <c r="CD294" s="630"/>
      <c r="CE294" s="630"/>
      <c r="CF294" s="1851"/>
    </row>
    <row customHeight="1" ht="15" hidden="1">
      <c r="A295" s="627"/>
      <c r="B295" s="628"/>
      <c r="C295" s="628"/>
      <c r="D295" s="2596"/>
      <c r="E295" s="2394" t="s">
        <v>703</v>
      </c>
      <c r="F295" s="2395"/>
      <c r="G295" s="2396"/>
      <c r="H295" s="2400" t="str">
        <f>IF(A293="","",INDEX(DIFFERENTIATION_UNMERGE_SYSTEM,MATCH(A293,DIFFERENTIATION_ID_DIFF,0)))</f>
        <v>Кавалеровский МО</v>
      </c>
      <c r="I295" s="2400"/>
      <c r="J295" s="2400"/>
      <c r="K295" s="2400"/>
      <c r="L295" s="2400"/>
      <c r="M295" s="2400"/>
      <c r="N295" s="2400"/>
      <c r="O295" s="2400"/>
      <c r="P295" s="2400"/>
      <c r="Q295" s="2400"/>
      <c r="R295" s="2400"/>
      <c r="S295" s="723"/>
      <c r="T295" s="720"/>
      <c r="U295" s="629"/>
      <c r="V295" s="629"/>
      <c r="W295" s="630"/>
      <c r="X295" s="630"/>
      <c r="Y295" s="630"/>
      <c r="Z295" s="630"/>
      <c r="AA295" s="631"/>
      <c r="AB295" s="632"/>
      <c r="AC295" s="2392"/>
      <c r="AD295" s="633"/>
      <c r="AE295" s="634"/>
      <c r="AF295" s="634"/>
      <c r="AG295" s="635"/>
      <c r="AH295" s="636"/>
      <c r="AI295" s="629"/>
      <c r="AJ295" s="629"/>
      <c r="AK295" s="629"/>
      <c r="AL295" s="629"/>
      <c r="AM295" s="629"/>
      <c r="AN295" s="629"/>
      <c r="AO295" s="629"/>
      <c r="AP295" s="629"/>
      <c r="AQ295" s="629"/>
      <c r="AR295" s="629"/>
      <c r="AS295" s="629"/>
      <c r="AT295" s="629"/>
      <c r="AU295" s="629"/>
      <c r="AV295" s="629"/>
      <c r="AW295" s="629"/>
      <c r="AX295" s="629"/>
      <c r="AY295" s="629"/>
      <c r="AZ295" s="629"/>
      <c r="BA295" s="629"/>
      <c r="BB295" s="629"/>
      <c r="BC295" s="629"/>
      <c r="BD295" s="629"/>
      <c r="BE295" s="629"/>
      <c r="BF295" s="629"/>
      <c r="BG295" s="629"/>
      <c r="BH295" s="629"/>
      <c r="BI295" s="629"/>
      <c r="BJ295" s="629"/>
      <c r="BK295" s="629"/>
      <c r="BL295" s="629"/>
      <c r="BM295" s="629"/>
      <c r="BN295" s="629"/>
      <c r="BO295" s="629"/>
      <c r="BP295" s="629"/>
      <c r="BQ295" s="629"/>
      <c r="BR295" s="629"/>
      <c r="BS295" s="629"/>
      <c r="BT295" s="629"/>
      <c r="BU295" s="629"/>
      <c r="BV295" s="630"/>
      <c r="BW295" s="630"/>
      <c r="BX295" s="630"/>
      <c r="BY295" s="630"/>
      <c r="BZ295" s="630"/>
      <c r="CA295" s="630"/>
      <c r="CB295" s="630"/>
      <c r="CC295" s="630"/>
      <c r="CD295" s="630"/>
      <c r="CE295" s="630"/>
      <c r="CF295" s="1851"/>
    </row>
    <row customHeight="1" ht="24.75" hidden="1">
      <c r="A296" s="1809"/>
      <c r="B296" s="1164"/>
      <c r="C296" s="416"/>
      <c r="D296" s="2596"/>
      <c r="E296" s="2393" t="s">
        <v>755</v>
      </c>
      <c r="F296" s="2393"/>
      <c r="G296" s="2393"/>
      <c r="H296" s="2393"/>
      <c r="I296" s="2393"/>
      <c r="J296" s="2393"/>
      <c r="K296" s="2393"/>
      <c r="L296" s="2393"/>
      <c r="M296" s="2393"/>
      <c r="N296" s="2393"/>
      <c r="O296" s="2393"/>
      <c r="P296" s="2393"/>
      <c r="Q296" s="562">
        <f>SUMIF(T297:T298,"i",Q297:Q298)</f>
        <v>0</v>
      </c>
      <c r="R296" s="1021"/>
      <c r="S296" s="1801" t="s">
        <v>756</v>
      </c>
      <c r="T296" s="721" t="s">
        <v>757</v>
      </c>
      <c r="U296" s="2391">
        <v>1</v>
      </c>
      <c r="V296" s="2391" t="str">
        <f>INDEX(B_FHD_FLAG_INDEX_1,1,MATCH(A293,B_FHD_FLAG_DIFFERENTIATION,0))</f>
        <v>отсутствует</v>
      </c>
      <c r="W296" s="1164"/>
      <c r="X296" s="1164"/>
      <c r="Y296" s="1164"/>
      <c r="Z296" s="1164"/>
      <c r="AA296" s="1640"/>
      <c r="AB296" s="1164"/>
      <c r="AC296" s="2392"/>
      <c r="AD296" s="633"/>
      <c r="AE296" s="1164"/>
      <c r="AF296" s="1164"/>
      <c r="AG296" s="1640"/>
      <c r="AH296" s="1640"/>
      <c r="AI296" s="1640"/>
      <c r="AJ296" s="1640"/>
      <c r="AK296" s="1640"/>
      <c r="AL296" s="1640"/>
      <c r="AM296" s="1640"/>
      <c r="AN296" s="1640"/>
      <c r="AO296" s="1640"/>
      <c r="AP296" s="1640"/>
      <c r="AQ296" s="1640"/>
      <c r="AR296" s="1640"/>
      <c r="AS296" s="1640"/>
      <c r="AT296" s="1640"/>
      <c r="AU296" s="1640"/>
      <c r="AV296" s="1640"/>
      <c r="AW296" s="1640"/>
      <c r="AX296" s="1640"/>
      <c r="AY296" s="1640"/>
      <c r="AZ296" s="1640"/>
      <c r="BA296" s="1640"/>
      <c r="BB296" s="1640"/>
      <c r="BC296" s="1640"/>
      <c r="BD296" s="1640"/>
      <c r="BE296" s="1640"/>
      <c r="BF296" s="1640"/>
      <c r="BG296" s="1640"/>
      <c r="BH296" s="1640"/>
      <c r="BI296" s="1640"/>
      <c r="BJ296" s="1640"/>
      <c r="BK296" s="1640"/>
      <c r="BL296" s="1640"/>
      <c r="BM296" s="1640"/>
      <c r="BN296" s="1640"/>
      <c r="BO296" s="1640"/>
      <c r="BP296" s="1640"/>
      <c r="BQ296" s="1640"/>
      <c r="BR296" s="1640"/>
      <c r="BS296" s="1640"/>
      <c r="BT296" s="1640"/>
      <c r="BU296" s="1640"/>
      <c r="BV296" s="1164"/>
      <c r="BW296" s="1164"/>
      <c r="BX296" s="1164"/>
      <c r="BY296" s="1164"/>
      <c r="BZ296" s="1164"/>
      <c r="CA296" s="1164"/>
      <c r="CB296" s="1164"/>
      <c r="CC296" s="1164"/>
      <c r="CD296" s="1164"/>
      <c r="CE296" s="1164"/>
      <c r="CF296" s="1851"/>
    </row>
    <row customHeight="1" ht="11.25" hidden="1">
      <c r="A297" s="1796"/>
      <c r="B297" s="1640"/>
      <c r="C297" s="1640"/>
      <c r="D297" s="2596"/>
      <c r="E297" s="639"/>
      <c r="F297" s="639">
        <v>0</v>
      </c>
      <c r="G297" s="639"/>
      <c r="H297" s="639"/>
      <c r="I297" s="639"/>
      <c r="J297" s="639"/>
      <c r="K297" s="639"/>
      <c r="L297" s="639"/>
      <c r="M297" s="639"/>
      <c r="N297" s="639"/>
      <c r="O297" s="639"/>
      <c r="P297" s="639"/>
      <c r="Q297" s="639"/>
      <c r="R297" s="639"/>
      <c r="S297" s="640"/>
      <c r="T297" s="722"/>
      <c r="U297" s="2391"/>
      <c r="V297" s="2391"/>
      <c r="W297" s="1640"/>
      <c r="X297" s="1640"/>
      <c r="Y297" s="1640"/>
      <c r="Z297" s="1640"/>
      <c r="AA297" s="1640"/>
      <c r="AB297" s="1164"/>
      <c r="AC297" s="2392"/>
      <c r="AD297" s="633"/>
      <c r="AE297" s="1164"/>
      <c r="AF297" s="1164"/>
      <c r="AG297" s="1640"/>
      <c r="AH297" s="1640"/>
      <c r="AI297" s="1640"/>
      <c r="AJ297" s="1640"/>
      <c r="AK297" s="1640"/>
      <c r="AL297" s="1640"/>
      <c r="AM297" s="1640"/>
      <c r="AN297" s="1640"/>
      <c r="AO297" s="1640"/>
      <c r="AP297" s="1640"/>
      <c r="AQ297" s="1640"/>
      <c r="AR297" s="1640"/>
      <c r="AS297" s="1640"/>
      <c r="AT297" s="1640"/>
      <c r="AU297" s="1640"/>
      <c r="AV297" s="1640"/>
      <c r="AW297" s="1640"/>
      <c r="AX297" s="1640"/>
      <c r="AY297" s="1640"/>
      <c r="AZ297" s="1640"/>
      <c r="BA297" s="1640"/>
      <c r="BB297" s="1640"/>
      <c r="BC297" s="1640"/>
      <c r="BD297" s="1640"/>
      <c r="BE297" s="1640"/>
      <c r="BF297" s="1640"/>
      <c r="BG297" s="1640"/>
      <c r="BH297" s="1640"/>
      <c r="BI297" s="1640"/>
      <c r="BJ297" s="1640"/>
      <c r="BK297" s="1640"/>
      <c r="BL297" s="1640"/>
      <c r="BM297" s="1640"/>
      <c r="BN297" s="1640"/>
      <c r="BO297" s="1640"/>
      <c r="BP297" s="1640"/>
      <c r="BQ297" s="1640"/>
      <c r="BR297" s="1640"/>
      <c r="BS297" s="1640"/>
      <c r="BT297" s="1640"/>
      <c r="BU297" s="1640"/>
      <c r="BV297" s="1640"/>
      <c r="BW297" s="1640"/>
      <c r="BX297" s="1640"/>
      <c r="BY297" s="1640"/>
      <c r="BZ297" s="1640"/>
      <c r="CA297" s="1640"/>
      <c r="CB297" s="1640"/>
      <c r="CC297" s="1640"/>
      <c r="CD297" s="1640"/>
      <c r="CE297" s="1640"/>
      <c r="CF297" s="1851"/>
    </row>
    <row customHeight="1" ht="11.25" hidden="1">
      <c r="A298" s="1809"/>
      <c r="B298" s="1164"/>
      <c r="C298" s="416"/>
      <c r="D298" s="2596"/>
      <c r="E298" s="653" t="s">
        <v>22</v>
      </c>
      <c r="F298" s="1172" t="s">
        <v>22</v>
      </c>
      <c r="G298" s="1172" t="s">
        <v>760</v>
      </c>
      <c r="H298" s="655" t="s">
        <v>22</v>
      </c>
      <c r="I298" s="655"/>
      <c r="J298" s="655"/>
      <c r="K298" s="655"/>
      <c r="L298" s="655"/>
      <c r="M298" s="655"/>
      <c r="N298" s="655"/>
      <c r="O298" s="655"/>
      <c r="P298" s="655"/>
      <c r="Q298" s="655"/>
      <c r="R298" s="656"/>
      <c r="S298" s="657"/>
      <c r="T298" s="722"/>
      <c r="U298" s="2391"/>
      <c r="V298" s="2391"/>
      <c r="W298" s="1164"/>
      <c r="X298" s="1164"/>
      <c r="Y298" s="1164"/>
      <c r="Z298" s="1164"/>
      <c r="AA298" s="1640"/>
      <c r="AB298" s="1164"/>
      <c r="AC298" s="2392"/>
      <c r="AD298" s="633"/>
      <c r="AE298" s="1164"/>
      <c r="AF298" s="1164"/>
      <c r="AG298" s="1640"/>
      <c r="AH298" s="1640"/>
      <c r="AI298" s="1640"/>
      <c r="AJ298" s="1640"/>
      <c r="AK298" s="1640"/>
      <c r="AL298" s="1640"/>
      <c r="AM298" s="1640"/>
      <c r="AN298" s="1640"/>
      <c r="AO298" s="1640"/>
      <c r="AP298" s="1640"/>
      <c r="AQ298" s="1640"/>
      <c r="AR298" s="1640"/>
      <c r="AS298" s="1640"/>
      <c r="AT298" s="1640"/>
      <c r="AU298" s="1640"/>
      <c r="AV298" s="1640"/>
      <c r="AW298" s="1640"/>
      <c r="AX298" s="1640"/>
      <c r="AY298" s="1640"/>
      <c r="AZ298" s="1640"/>
      <c r="BA298" s="1640"/>
      <c r="BB298" s="1640"/>
      <c r="BC298" s="1640"/>
      <c r="BD298" s="1640"/>
      <c r="BE298" s="1640"/>
      <c r="BF298" s="1640"/>
      <c r="BG298" s="1640"/>
      <c r="BH298" s="1640"/>
      <c r="BI298" s="1640"/>
      <c r="BJ298" s="1640"/>
      <c r="BK298" s="1640"/>
      <c r="BL298" s="1640"/>
      <c r="BM298" s="1640"/>
      <c r="BN298" s="1640"/>
      <c r="BO298" s="1640"/>
      <c r="BP298" s="1640"/>
      <c r="BQ298" s="1640"/>
      <c r="BR298" s="1640"/>
      <c r="BS298" s="1640"/>
      <c r="BT298" s="1640"/>
      <c r="BU298" s="1640"/>
      <c r="BV298" s="1164"/>
      <c r="BW298" s="1164"/>
      <c r="BX298" s="1164"/>
      <c r="BY298" s="1164"/>
      <c r="BZ298" s="1164"/>
      <c r="CA298" s="1164"/>
      <c r="CB298" s="1164"/>
      <c r="CC298" s="1164"/>
      <c r="CD298" s="1164"/>
      <c r="CE298" s="1164"/>
      <c r="CF298" s="1851"/>
    </row>
    <row customHeight="1" ht="24.75" hidden="1">
      <c r="A299" s="1809"/>
      <c r="B299" s="1164"/>
      <c r="C299" s="416"/>
      <c r="D299" s="2596"/>
      <c r="E299" s="2393" t="s">
        <v>758</v>
      </c>
      <c r="F299" s="2393"/>
      <c r="G299" s="2393"/>
      <c r="H299" s="2393"/>
      <c r="I299" s="2393"/>
      <c r="J299" s="2393"/>
      <c r="K299" s="2393"/>
      <c r="L299" s="2393"/>
      <c r="M299" s="2393"/>
      <c r="N299" s="2393"/>
      <c r="O299" s="2393"/>
      <c r="P299" s="2393"/>
      <c r="Q299" s="562">
        <f>SUMIF(T300:T301,"i",Q300:Q301)</f>
        <v>0</v>
      </c>
      <c r="R299" s="1021"/>
      <c r="S299" s="1801" t="s">
        <v>759</v>
      </c>
      <c r="T299" s="721" t="s">
        <v>757</v>
      </c>
      <c r="U299" s="2391">
        <v>1</v>
      </c>
      <c r="V299" s="2391" t="str">
        <f>INDEX(B_FHD_FLAG_INDEX_2,1,MATCH(A293,B_FHD_FLAG_DIFFERENTIATION,0))</f>
        <v>отсутствует</v>
      </c>
      <c r="W299" s="1164"/>
      <c r="X299" s="1164"/>
      <c r="Y299" s="1164"/>
      <c r="Z299" s="1164"/>
      <c r="AA299" s="1640"/>
      <c r="AB299" s="1164"/>
      <c r="AC299" s="1799"/>
      <c r="AD299" s="633"/>
      <c r="AE299" s="1164"/>
      <c r="AF299" s="1164"/>
      <c r="AG299" s="1640"/>
      <c r="AH299" s="1640"/>
      <c r="AI299" s="1640"/>
      <c r="AJ299" s="1640"/>
      <c r="AK299" s="1640"/>
      <c r="AL299" s="1640"/>
      <c r="AM299" s="1640"/>
      <c r="AN299" s="1640"/>
      <c r="AO299" s="1640"/>
      <c r="AP299" s="1640"/>
      <c r="AQ299" s="1640"/>
      <c r="AR299" s="1640"/>
      <c r="AS299" s="1640"/>
      <c r="AT299" s="1640"/>
      <c r="AU299" s="1640"/>
      <c r="AV299" s="1640"/>
      <c r="AW299" s="1640"/>
      <c r="AX299" s="1640"/>
      <c r="AY299" s="1640"/>
      <c r="AZ299" s="1640"/>
      <c r="BA299" s="1640"/>
      <c r="BB299" s="1640"/>
      <c r="BC299" s="1640"/>
      <c r="BD299" s="1640"/>
      <c r="BE299" s="1640"/>
      <c r="BF299" s="1640"/>
      <c r="BG299" s="1640"/>
      <c r="BH299" s="1640"/>
      <c r="BI299" s="1640"/>
      <c r="BJ299" s="1640"/>
      <c r="BK299" s="1640"/>
      <c r="BL299" s="1640"/>
      <c r="BM299" s="1640"/>
      <c r="BN299" s="1640"/>
      <c r="BO299" s="1640"/>
      <c r="BP299" s="1640"/>
      <c r="BQ299" s="1640"/>
      <c r="BR299" s="1640"/>
      <c r="BS299" s="1640"/>
      <c r="BT299" s="1640"/>
      <c r="BU299" s="1640"/>
      <c r="BV299" s="1164"/>
      <c r="BW299" s="1164"/>
      <c r="BX299" s="1164"/>
      <c r="BY299" s="1164"/>
      <c r="BZ299" s="1164"/>
      <c r="CA299" s="1164"/>
      <c r="CB299" s="1164"/>
      <c r="CC299" s="1164"/>
      <c r="CD299" s="1164"/>
      <c r="CE299" s="1164"/>
      <c r="CF299" s="1851"/>
    </row>
    <row customHeight="1" ht="11.25" hidden="1">
      <c r="A300" s="1796"/>
      <c r="B300" s="1640"/>
      <c r="C300" s="1640"/>
      <c r="D300" s="2596"/>
      <c r="E300" s="639"/>
      <c r="F300" s="639">
        <v>0</v>
      </c>
      <c r="G300" s="639"/>
      <c r="H300" s="639"/>
      <c r="I300" s="639"/>
      <c r="J300" s="639"/>
      <c r="K300" s="639"/>
      <c r="L300" s="639"/>
      <c r="M300" s="639"/>
      <c r="N300" s="639"/>
      <c r="O300" s="639"/>
      <c r="P300" s="639"/>
      <c r="Q300" s="639"/>
      <c r="R300" s="639"/>
      <c r="S300" s="640"/>
      <c r="T300" s="722"/>
      <c r="U300" s="2391"/>
      <c r="V300" s="2391"/>
      <c r="W300" s="1640"/>
      <c r="X300" s="1640"/>
      <c r="Y300" s="1640"/>
      <c r="Z300" s="1640"/>
      <c r="AA300" s="1640"/>
      <c r="AB300" s="1164"/>
      <c r="AC300" s="1799"/>
      <c r="AD300" s="633"/>
      <c r="AE300" s="1164"/>
      <c r="AF300" s="1164"/>
      <c r="AG300" s="1640"/>
      <c r="AH300" s="1640"/>
      <c r="AI300" s="1640"/>
      <c r="AJ300" s="1640"/>
      <c r="AK300" s="1640"/>
      <c r="AL300" s="1640"/>
      <c r="AM300" s="1640"/>
      <c r="AN300" s="1640"/>
      <c r="AO300" s="1640"/>
      <c r="AP300" s="1640"/>
      <c r="AQ300" s="1640"/>
      <c r="AR300" s="1640"/>
      <c r="AS300" s="1640"/>
      <c r="AT300" s="1640"/>
      <c r="AU300" s="1640"/>
      <c r="AV300" s="1640"/>
      <c r="AW300" s="1640"/>
      <c r="AX300" s="1640"/>
      <c r="AY300" s="1640"/>
      <c r="AZ300" s="1640"/>
      <c r="BA300" s="1640"/>
      <c r="BB300" s="1640"/>
      <c r="BC300" s="1640"/>
      <c r="BD300" s="1640"/>
      <c r="BE300" s="1640"/>
      <c r="BF300" s="1640"/>
      <c r="BG300" s="1640"/>
      <c r="BH300" s="1640"/>
      <c r="BI300" s="1640"/>
      <c r="BJ300" s="1640"/>
      <c r="BK300" s="1640"/>
      <c r="BL300" s="1640"/>
      <c r="BM300" s="1640"/>
      <c r="BN300" s="1640"/>
      <c r="BO300" s="1640"/>
      <c r="BP300" s="1640"/>
      <c r="BQ300" s="1640"/>
      <c r="BR300" s="1640"/>
      <c r="BS300" s="1640"/>
      <c r="BT300" s="1640"/>
      <c r="BU300" s="1640"/>
      <c r="BV300" s="1640"/>
      <c r="BW300" s="1640"/>
      <c r="BX300" s="1640"/>
      <c r="BY300" s="1640"/>
      <c r="BZ300" s="1640"/>
      <c r="CA300" s="1640"/>
      <c r="CB300" s="1640"/>
      <c r="CC300" s="1640"/>
      <c r="CD300" s="1640"/>
      <c r="CE300" s="1640"/>
      <c r="CF300" s="1851"/>
    </row>
    <row customHeight="1" ht="11.25" hidden="1">
      <c r="A301" s="1809"/>
      <c r="B301" s="1164"/>
      <c r="C301" s="416"/>
      <c r="D301" s="2597"/>
      <c r="E301" s="653" t="s">
        <v>22</v>
      </c>
      <c r="F301" s="1172" t="s">
        <v>22</v>
      </c>
      <c r="G301" s="1172" t="s">
        <v>760</v>
      </c>
      <c r="H301" s="655" t="s">
        <v>22</v>
      </c>
      <c r="I301" s="655"/>
      <c r="J301" s="655"/>
      <c r="K301" s="655"/>
      <c r="L301" s="655"/>
      <c r="M301" s="655"/>
      <c r="N301" s="655"/>
      <c r="O301" s="655"/>
      <c r="P301" s="655"/>
      <c r="Q301" s="655"/>
      <c r="R301" s="656"/>
      <c r="S301" s="657"/>
      <c r="T301" s="722"/>
      <c r="U301" s="2391"/>
      <c r="V301" s="2391"/>
      <c r="W301" s="1164"/>
      <c r="X301" s="1164"/>
      <c r="Y301" s="1164"/>
      <c r="Z301" s="1164"/>
      <c r="AA301" s="1640"/>
      <c r="AB301" s="1164"/>
      <c r="AC301" s="1799"/>
      <c r="AD301" s="633"/>
      <c r="AE301" s="1164"/>
      <c r="AF301" s="1164"/>
      <c r="AG301" s="1640"/>
      <c r="AH301" s="1640"/>
      <c r="AI301" s="1640"/>
      <c r="AJ301" s="1640"/>
      <c r="AK301" s="1640"/>
      <c r="AL301" s="1640"/>
      <c r="AM301" s="1640"/>
      <c r="AN301" s="1640"/>
      <c r="AO301" s="1640"/>
      <c r="AP301" s="1640"/>
      <c r="AQ301" s="1640"/>
      <c r="AR301" s="1640"/>
      <c r="AS301" s="1640"/>
      <c r="AT301" s="1640"/>
      <c r="AU301" s="1640"/>
      <c r="AV301" s="1640"/>
      <c r="AW301" s="1640"/>
      <c r="AX301" s="1640"/>
      <c r="AY301" s="1640"/>
      <c r="AZ301" s="1640"/>
      <c r="BA301" s="1640"/>
      <c r="BB301" s="1640"/>
      <c r="BC301" s="1640"/>
      <c r="BD301" s="1640"/>
      <c r="BE301" s="1640"/>
      <c r="BF301" s="1640"/>
      <c r="BG301" s="1640"/>
      <c r="BH301" s="1640"/>
      <c r="BI301" s="1640"/>
      <c r="BJ301" s="1640"/>
      <c r="BK301" s="1640"/>
      <c r="BL301" s="1640"/>
      <c r="BM301" s="1640"/>
      <c r="BN301" s="1640"/>
      <c r="BO301" s="1640"/>
      <c r="BP301" s="1640"/>
      <c r="BQ301" s="1640"/>
      <c r="BR301" s="1640"/>
      <c r="BS301" s="1640"/>
      <c r="BT301" s="1640"/>
      <c r="BU301" s="1640"/>
      <c r="BV301" s="1164"/>
      <c r="BW301" s="1164"/>
      <c r="BX301" s="1164"/>
      <c r="BY301" s="1164"/>
      <c r="BZ301" s="1164"/>
      <c r="CA301" s="1164"/>
      <c r="CB301" s="1164"/>
      <c r="CC301" s="1164"/>
      <c r="CD301" s="1164"/>
      <c r="CE301" s="1164"/>
      <c r="CF301" s="1851"/>
    </row>
    <row customHeight="1" ht="15" hidden="1">
      <c r="A302" s="627" t="s">
        <v>246</v>
      </c>
      <c r="B302" s="628"/>
      <c r="C302" s="628" t="s">
        <v>22</v>
      </c>
      <c r="D302" s="2595" t="s">
        <v>791</v>
      </c>
      <c r="E302" s="2394" t="s">
        <v>173</v>
      </c>
      <c r="F302" s="2395"/>
      <c r="G302" s="2396"/>
      <c r="H302" s="2400" t="str">
        <f>IF(A302="","",INDEX(DIFFERENTIATION_UNMERGE_VD,MATCH(A302,DIFFERENTIATION_ID_DIFF,0)))</f>
        <v>Подключение (технологическое присоединение) к централизованной системе водоснабжения</v>
      </c>
      <c r="I302" s="2400"/>
      <c r="J302" s="2400"/>
      <c r="K302" s="2400"/>
      <c r="L302" s="2400"/>
      <c r="M302" s="2400"/>
      <c r="N302" s="2400"/>
      <c r="O302" s="2400"/>
      <c r="P302" s="2400"/>
      <c r="Q302" s="2400"/>
      <c r="R302" s="2400"/>
      <c r="S302" s="723"/>
      <c r="T302" s="720"/>
      <c r="U302" s="629"/>
      <c r="V302" s="629"/>
      <c r="W302" s="630"/>
      <c r="X302" s="630"/>
      <c r="Y302" s="630"/>
      <c r="Z302" s="630"/>
      <c r="AA302" s="631"/>
      <c r="AB302" s="632"/>
      <c r="AC302" s="2392"/>
      <c r="AD302" s="633"/>
      <c r="AE302" s="634" t="s">
        <v>22</v>
      </c>
      <c r="AF302" s="634"/>
      <c r="AG302" s="635" t="s">
        <v>754</v>
      </c>
      <c r="AH302" s="636">
        <v>3</v>
      </c>
      <c r="AI302" s="629"/>
      <c r="AJ302" s="629"/>
      <c r="AK302" s="629"/>
      <c r="AL302" s="629"/>
      <c r="AM302" s="629"/>
      <c r="AN302" s="629"/>
      <c r="AO302" s="629"/>
      <c r="AP302" s="629"/>
      <c r="AQ302" s="629"/>
      <c r="AR302" s="629"/>
      <c r="AS302" s="629"/>
      <c r="AT302" s="629"/>
      <c r="AU302" s="629"/>
      <c r="AV302" s="629"/>
      <c r="AW302" s="629"/>
      <c r="AX302" s="629"/>
      <c r="AY302" s="629"/>
      <c r="AZ302" s="629"/>
      <c r="BA302" s="629"/>
      <c r="BB302" s="629"/>
      <c r="BC302" s="629"/>
      <c r="BD302" s="629"/>
      <c r="BE302" s="629"/>
      <c r="BF302" s="629"/>
      <c r="BG302" s="629"/>
      <c r="BH302" s="629"/>
      <c r="BI302" s="629"/>
      <c r="BJ302" s="629"/>
      <c r="BK302" s="629"/>
      <c r="BL302" s="629"/>
      <c r="BM302" s="629"/>
      <c r="BN302" s="629"/>
      <c r="BO302" s="629"/>
      <c r="BP302" s="629"/>
      <c r="BQ302" s="629"/>
      <c r="BR302" s="629"/>
      <c r="BS302" s="629"/>
      <c r="BT302" s="629"/>
      <c r="BU302" s="629"/>
      <c r="BV302" s="630"/>
      <c r="BW302" s="630"/>
      <c r="BX302" s="630"/>
      <c r="BY302" s="630"/>
      <c r="BZ302" s="630"/>
      <c r="CA302" s="630"/>
      <c r="CB302" s="630"/>
      <c r="CC302" s="630"/>
      <c r="CD302" s="630"/>
      <c r="CE302" s="630"/>
      <c r="CF302" s="1851"/>
    </row>
    <row customHeight="1" ht="15" hidden="1">
      <c r="A303" s="627"/>
      <c r="B303" s="628"/>
      <c r="C303" s="628"/>
      <c r="D303" s="2596"/>
      <c r="E303" s="2394" t="s">
        <v>702</v>
      </c>
      <c r="F303" s="2395"/>
      <c r="G303" s="2396"/>
      <c r="H303" s="2400" t="str">
        <f>IF(A302="","",INDEX(DIFFERENTIATION_UNMERGE_AREA,MATCH(A302,DIFFERENTIATION_ID_DIFF,0)))</f>
        <v>Территория 11</v>
      </c>
      <c r="I303" s="2400"/>
      <c r="J303" s="2400"/>
      <c r="K303" s="2400"/>
      <c r="L303" s="2400"/>
      <c r="M303" s="2400"/>
      <c r="N303" s="2400"/>
      <c r="O303" s="2400"/>
      <c r="P303" s="2400"/>
      <c r="Q303" s="2400"/>
      <c r="R303" s="2400"/>
      <c r="S303" s="723"/>
      <c r="T303" s="720"/>
      <c r="U303" s="629"/>
      <c r="V303" s="629"/>
      <c r="W303" s="630"/>
      <c r="X303" s="630"/>
      <c r="Y303" s="630"/>
      <c r="Z303" s="630"/>
      <c r="AA303" s="631"/>
      <c r="AB303" s="632"/>
      <c r="AC303" s="2392"/>
      <c r="AD303" s="633"/>
      <c r="AE303" s="634"/>
      <c r="AF303" s="634"/>
      <c r="AG303" s="635"/>
      <c r="AH303" s="636"/>
      <c r="AI303" s="629"/>
      <c r="AJ303" s="629"/>
      <c r="AK303" s="629"/>
      <c r="AL303" s="629"/>
      <c r="AM303" s="629"/>
      <c r="AN303" s="629"/>
      <c r="AO303" s="629"/>
      <c r="AP303" s="629"/>
      <c r="AQ303" s="629"/>
      <c r="AR303" s="629"/>
      <c r="AS303" s="629"/>
      <c r="AT303" s="629"/>
      <c r="AU303" s="629"/>
      <c r="AV303" s="629"/>
      <c r="AW303" s="629"/>
      <c r="AX303" s="629"/>
      <c r="AY303" s="629"/>
      <c r="AZ303" s="629"/>
      <c r="BA303" s="629"/>
      <c r="BB303" s="629"/>
      <c r="BC303" s="629"/>
      <c r="BD303" s="629"/>
      <c r="BE303" s="629"/>
      <c r="BF303" s="629"/>
      <c r="BG303" s="629"/>
      <c r="BH303" s="629"/>
      <c r="BI303" s="629"/>
      <c r="BJ303" s="629"/>
      <c r="BK303" s="629"/>
      <c r="BL303" s="629"/>
      <c r="BM303" s="629"/>
      <c r="BN303" s="629"/>
      <c r="BO303" s="629"/>
      <c r="BP303" s="629"/>
      <c r="BQ303" s="629"/>
      <c r="BR303" s="629"/>
      <c r="BS303" s="629"/>
      <c r="BT303" s="629"/>
      <c r="BU303" s="629"/>
      <c r="BV303" s="630"/>
      <c r="BW303" s="630"/>
      <c r="BX303" s="630"/>
      <c r="BY303" s="630"/>
      <c r="BZ303" s="630"/>
      <c r="CA303" s="630"/>
      <c r="CB303" s="630"/>
      <c r="CC303" s="630"/>
      <c r="CD303" s="630"/>
      <c r="CE303" s="630"/>
      <c r="CF303" s="1851"/>
    </row>
    <row customHeight="1" ht="15" hidden="1">
      <c r="A304" s="627"/>
      <c r="B304" s="628"/>
      <c r="C304" s="628"/>
      <c r="D304" s="2596"/>
      <c r="E304" s="2394" t="s">
        <v>703</v>
      </c>
      <c r="F304" s="2395"/>
      <c r="G304" s="2396"/>
      <c r="H304" s="2400" t="str">
        <f>IF(A302="","",INDEX(DIFFERENTIATION_UNMERGE_SYSTEM,MATCH(A302,DIFFERENTIATION_ID_DIFF,0)))</f>
        <v>Дальнереченский ГО</v>
      </c>
      <c r="I304" s="2400"/>
      <c r="J304" s="2400"/>
      <c r="K304" s="2400"/>
      <c r="L304" s="2400"/>
      <c r="M304" s="2400"/>
      <c r="N304" s="2400"/>
      <c r="O304" s="2400"/>
      <c r="P304" s="2400"/>
      <c r="Q304" s="2400"/>
      <c r="R304" s="2400"/>
      <c r="S304" s="723"/>
      <c r="T304" s="720"/>
      <c r="U304" s="629"/>
      <c r="V304" s="629"/>
      <c r="W304" s="630"/>
      <c r="X304" s="630"/>
      <c r="Y304" s="630"/>
      <c r="Z304" s="630"/>
      <c r="AA304" s="631"/>
      <c r="AB304" s="632"/>
      <c r="AC304" s="2392"/>
      <c r="AD304" s="633"/>
      <c r="AE304" s="634"/>
      <c r="AF304" s="634"/>
      <c r="AG304" s="635"/>
      <c r="AH304" s="636"/>
      <c r="AI304" s="629"/>
      <c r="AJ304" s="629"/>
      <c r="AK304" s="629"/>
      <c r="AL304" s="629"/>
      <c r="AM304" s="629"/>
      <c r="AN304" s="629"/>
      <c r="AO304" s="629"/>
      <c r="AP304" s="629"/>
      <c r="AQ304" s="629"/>
      <c r="AR304" s="629"/>
      <c r="AS304" s="629"/>
      <c r="AT304" s="629"/>
      <c r="AU304" s="629"/>
      <c r="AV304" s="629"/>
      <c r="AW304" s="629"/>
      <c r="AX304" s="629"/>
      <c r="AY304" s="629"/>
      <c r="AZ304" s="629"/>
      <c r="BA304" s="629"/>
      <c r="BB304" s="629"/>
      <c r="BC304" s="629"/>
      <c r="BD304" s="629"/>
      <c r="BE304" s="629"/>
      <c r="BF304" s="629"/>
      <c r="BG304" s="629"/>
      <c r="BH304" s="629"/>
      <c r="BI304" s="629"/>
      <c r="BJ304" s="629"/>
      <c r="BK304" s="629"/>
      <c r="BL304" s="629"/>
      <c r="BM304" s="629"/>
      <c r="BN304" s="629"/>
      <c r="BO304" s="629"/>
      <c r="BP304" s="629"/>
      <c r="BQ304" s="629"/>
      <c r="BR304" s="629"/>
      <c r="BS304" s="629"/>
      <c r="BT304" s="629"/>
      <c r="BU304" s="629"/>
      <c r="BV304" s="630"/>
      <c r="BW304" s="630"/>
      <c r="BX304" s="630"/>
      <c r="BY304" s="630"/>
      <c r="BZ304" s="630"/>
      <c r="CA304" s="630"/>
      <c r="CB304" s="630"/>
      <c r="CC304" s="630"/>
      <c r="CD304" s="630"/>
      <c r="CE304" s="630"/>
      <c r="CF304" s="1851"/>
    </row>
    <row customHeight="1" ht="24.75" hidden="1">
      <c r="A305" s="1809"/>
      <c r="B305" s="1164"/>
      <c r="C305" s="416"/>
      <c r="D305" s="2596"/>
      <c r="E305" s="2393" t="s">
        <v>755</v>
      </c>
      <c r="F305" s="2393"/>
      <c r="G305" s="2393"/>
      <c r="H305" s="2393"/>
      <c r="I305" s="2393"/>
      <c r="J305" s="2393"/>
      <c r="K305" s="2393"/>
      <c r="L305" s="2393"/>
      <c r="M305" s="2393"/>
      <c r="N305" s="2393"/>
      <c r="O305" s="2393"/>
      <c r="P305" s="2393"/>
      <c r="Q305" s="562">
        <f>SUMIF(T306:T307,"i",Q306:Q307)</f>
        <v>0</v>
      </c>
      <c r="R305" s="1021"/>
      <c r="S305" s="1801" t="s">
        <v>756</v>
      </c>
      <c r="T305" s="721" t="s">
        <v>757</v>
      </c>
      <c r="U305" s="2391">
        <v>1</v>
      </c>
      <c r="V305" s="2391" t="str">
        <f>INDEX(B_FHD_FLAG_INDEX_1,1,MATCH(A302,B_FHD_FLAG_DIFFERENTIATION,0))</f>
        <v>отсутствует</v>
      </c>
      <c r="W305" s="1164"/>
      <c r="X305" s="1164"/>
      <c r="Y305" s="1164"/>
      <c r="Z305" s="1164"/>
      <c r="AA305" s="1640"/>
      <c r="AB305" s="1164"/>
      <c r="AC305" s="2392"/>
      <c r="AD305" s="633"/>
      <c r="AE305" s="1164"/>
      <c r="AF305" s="1164"/>
      <c r="AG305" s="1640"/>
      <c r="AH305" s="1640"/>
      <c r="AI305" s="1640"/>
      <c r="AJ305" s="1640"/>
      <c r="AK305" s="1640"/>
      <c r="AL305" s="1640"/>
      <c r="AM305" s="1640"/>
      <c r="AN305" s="1640"/>
      <c r="AO305" s="1640"/>
      <c r="AP305" s="1640"/>
      <c r="AQ305" s="1640"/>
      <c r="AR305" s="1640"/>
      <c r="AS305" s="1640"/>
      <c r="AT305" s="1640"/>
      <c r="AU305" s="1640"/>
      <c r="AV305" s="1640"/>
      <c r="AW305" s="1640"/>
      <c r="AX305" s="1640"/>
      <c r="AY305" s="1640"/>
      <c r="AZ305" s="1640"/>
      <c r="BA305" s="1640"/>
      <c r="BB305" s="1640"/>
      <c r="BC305" s="1640"/>
      <c r="BD305" s="1640"/>
      <c r="BE305" s="1640"/>
      <c r="BF305" s="1640"/>
      <c r="BG305" s="1640"/>
      <c r="BH305" s="1640"/>
      <c r="BI305" s="1640"/>
      <c r="BJ305" s="1640"/>
      <c r="BK305" s="1640"/>
      <c r="BL305" s="1640"/>
      <c r="BM305" s="1640"/>
      <c r="BN305" s="1640"/>
      <c r="BO305" s="1640"/>
      <c r="BP305" s="1640"/>
      <c r="BQ305" s="1640"/>
      <c r="BR305" s="1640"/>
      <c r="BS305" s="1640"/>
      <c r="BT305" s="1640"/>
      <c r="BU305" s="1640"/>
      <c r="BV305" s="1164"/>
      <c r="BW305" s="1164"/>
      <c r="BX305" s="1164"/>
      <c r="BY305" s="1164"/>
      <c r="BZ305" s="1164"/>
      <c r="CA305" s="1164"/>
      <c r="CB305" s="1164"/>
      <c r="CC305" s="1164"/>
      <c r="CD305" s="1164"/>
      <c r="CE305" s="1164"/>
      <c r="CF305" s="1851"/>
    </row>
    <row customHeight="1" ht="11.25" hidden="1">
      <c r="A306" s="1796"/>
      <c r="B306" s="1640"/>
      <c r="C306" s="1640"/>
      <c r="D306" s="2596"/>
      <c r="E306" s="639"/>
      <c r="F306" s="639">
        <v>0</v>
      </c>
      <c r="G306" s="639"/>
      <c r="H306" s="639"/>
      <c r="I306" s="639"/>
      <c r="J306" s="639"/>
      <c r="K306" s="639"/>
      <c r="L306" s="639"/>
      <c r="M306" s="639"/>
      <c r="N306" s="639"/>
      <c r="O306" s="639"/>
      <c r="P306" s="639"/>
      <c r="Q306" s="639"/>
      <c r="R306" s="639"/>
      <c r="S306" s="640"/>
      <c r="T306" s="722"/>
      <c r="U306" s="2391"/>
      <c r="V306" s="2391"/>
      <c r="W306" s="1640"/>
      <c r="X306" s="1640"/>
      <c r="Y306" s="1640"/>
      <c r="Z306" s="1640"/>
      <c r="AA306" s="1640"/>
      <c r="AB306" s="1164"/>
      <c r="AC306" s="2392"/>
      <c r="AD306" s="633"/>
      <c r="AE306" s="1164"/>
      <c r="AF306" s="1164"/>
      <c r="AG306" s="1640"/>
      <c r="AH306" s="1640"/>
      <c r="AI306" s="1640"/>
      <c r="AJ306" s="1640"/>
      <c r="AK306" s="1640"/>
      <c r="AL306" s="1640"/>
      <c r="AM306" s="1640"/>
      <c r="AN306" s="1640"/>
      <c r="AO306" s="1640"/>
      <c r="AP306" s="1640"/>
      <c r="AQ306" s="1640"/>
      <c r="AR306" s="1640"/>
      <c r="AS306" s="1640"/>
      <c r="AT306" s="1640"/>
      <c r="AU306" s="1640"/>
      <c r="AV306" s="1640"/>
      <c r="AW306" s="1640"/>
      <c r="AX306" s="1640"/>
      <c r="AY306" s="1640"/>
      <c r="AZ306" s="1640"/>
      <c r="BA306" s="1640"/>
      <c r="BB306" s="1640"/>
      <c r="BC306" s="1640"/>
      <c r="BD306" s="1640"/>
      <c r="BE306" s="1640"/>
      <c r="BF306" s="1640"/>
      <c r="BG306" s="1640"/>
      <c r="BH306" s="1640"/>
      <c r="BI306" s="1640"/>
      <c r="BJ306" s="1640"/>
      <c r="BK306" s="1640"/>
      <c r="BL306" s="1640"/>
      <c r="BM306" s="1640"/>
      <c r="BN306" s="1640"/>
      <c r="BO306" s="1640"/>
      <c r="BP306" s="1640"/>
      <c r="BQ306" s="1640"/>
      <c r="BR306" s="1640"/>
      <c r="BS306" s="1640"/>
      <c r="BT306" s="1640"/>
      <c r="BU306" s="1640"/>
      <c r="BV306" s="1640"/>
      <c r="BW306" s="1640"/>
      <c r="BX306" s="1640"/>
      <c r="BY306" s="1640"/>
      <c r="BZ306" s="1640"/>
      <c r="CA306" s="1640"/>
      <c r="CB306" s="1640"/>
      <c r="CC306" s="1640"/>
      <c r="CD306" s="1640"/>
      <c r="CE306" s="1640"/>
      <c r="CF306" s="1851"/>
    </row>
    <row customHeight="1" ht="11.25" hidden="1">
      <c r="A307" s="1809"/>
      <c r="B307" s="1164"/>
      <c r="C307" s="416"/>
      <c r="D307" s="2596"/>
      <c r="E307" s="653" t="s">
        <v>22</v>
      </c>
      <c r="F307" s="1172" t="s">
        <v>22</v>
      </c>
      <c r="G307" s="1172" t="s">
        <v>760</v>
      </c>
      <c r="H307" s="655" t="s">
        <v>22</v>
      </c>
      <c r="I307" s="655"/>
      <c r="J307" s="655"/>
      <c r="K307" s="655"/>
      <c r="L307" s="655"/>
      <c r="M307" s="655"/>
      <c r="N307" s="655"/>
      <c r="O307" s="655"/>
      <c r="P307" s="655"/>
      <c r="Q307" s="655"/>
      <c r="R307" s="656"/>
      <c r="S307" s="657"/>
      <c r="T307" s="722"/>
      <c r="U307" s="2391"/>
      <c r="V307" s="2391"/>
      <c r="W307" s="1164"/>
      <c r="X307" s="1164"/>
      <c r="Y307" s="1164"/>
      <c r="Z307" s="1164"/>
      <c r="AA307" s="1640"/>
      <c r="AB307" s="1164"/>
      <c r="AC307" s="2392"/>
      <c r="AD307" s="633"/>
      <c r="AE307" s="1164"/>
      <c r="AF307" s="1164"/>
      <c r="AG307" s="1640"/>
      <c r="AH307" s="1640"/>
      <c r="AI307" s="1640"/>
      <c r="AJ307" s="1640"/>
      <c r="AK307" s="1640"/>
      <c r="AL307" s="1640"/>
      <c r="AM307" s="1640"/>
      <c r="AN307" s="1640"/>
      <c r="AO307" s="1640"/>
      <c r="AP307" s="1640"/>
      <c r="AQ307" s="1640"/>
      <c r="AR307" s="1640"/>
      <c r="AS307" s="1640"/>
      <c r="AT307" s="1640"/>
      <c r="AU307" s="1640"/>
      <c r="AV307" s="1640"/>
      <c r="AW307" s="1640"/>
      <c r="AX307" s="1640"/>
      <c r="AY307" s="1640"/>
      <c r="AZ307" s="1640"/>
      <c r="BA307" s="1640"/>
      <c r="BB307" s="1640"/>
      <c r="BC307" s="1640"/>
      <c r="BD307" s="1640"/>
      <c r="BE307" s="1640"/>
      <c r="BF307" s="1640"/>
      <c r="BG307" s="1640"/>
      <c r="BH307" s="1640"/>
      <c r="BI307" s="1640"/>
      <c r="BJ307" s="1640"/>
      <c r="BK307" s="1640"/>
      <c r="BL307" s="1640"/>
      <c r="BM307" s="1640"/>
      <c r="BN307" s="1640"/>
      <c r="BO307" s="1640"/>
      <c r="BP307" s="1640"/>
      <c r="BQ307" s="1640"/>
      <c r="BR307" s="1640"/>
      <c r="BS307" s="1640"/>
      <c r="BT307" s="1640"/>
      <c r="BU307" s="1640"/>
      <c r="BV307" s="1164"/>
      <c r="BW307" s="1164"/>
      <c r="BX307" s="1164"/>
      <c r="BY307" s="1164"/>
      <c r="BZ307" s="1164"/>
      <c r="CA307" s="1164"/>
      <c r="CB307" s="1164"/>
      <c r="CC307" s="1164"/>
      <c r="CD307" s="1164"/>
      <c r="CE307" s="1164"/>
      <c r="CF307" s="1851"/>
    </row>
    <row customHeight="1" ht="24.75" hidden="1">
      <c r="A308" s="1809"/>
      <c r="B308" s="1164"/>
      <c r="C308" s="416"/>
      <c r="D308" s="2596"/>
      <c r="E308" s="2393" t="s">
        <v>758</v>
      </c>
      <c r="F308" s="2393"/>
      <c r="G308" s="2393"/>
      <c r="H308" s="2393"/>
      <c r="I308" s="2393"/>
      <c r="J308" s="2393"/>
      <c r="K308" s="2393"/>
      <c r="L308" s="2393"/>
      <c r="M308" s="2393"/>
      <c r="N308" s="2393"/>
      <c r="O308" s="2393"/>
      <c r="P308" s="2393"/>
      <c r="Q308" s="562">
        <f>SUMIF(T309:T310,"i",Q309:Q310)</f>
        <v>0</v>
      </c>
      <c r="R308" s="1021"/>
      <c r="S308" s="1801" t="s">
        <v>759</v>
      </c>
      <c r="T308" s="721" t="s">
        <v>757</v>
      </c>
      <c r="U308" s="2391">
        <v>1</v>
      </c>
      <c r="V308" s="2391" t="str">
        <f>INDEX(B_FHD_FLAG_INDEX_2,1,MATCH(A302,B_FHD_FLAG_DIFFERENTIATION,0))</f>
        <v>отсутствует</v>
      </c>
      <c r="W308" s="1164"/>
      <c r="X308" s="1164"/>
      <c r="Y308" s="1164"/>
      <c r="Z308" s="1164"/>
      <c r="AA308" s="1640"/>
      <c r="AB308" s="1164"/>
      <c r="AC308" s="1799"/>
      <c r="AD308" s="633"/>
      <c r="AE308" s="1164"/>
      <c r="AF308" s="1164"/>
      <c r="AG308" s="1640"/>
      <c r="AH308" s="1640"/>
      <c r="AI308" s="1640"/>
      <c r="AJ308" s="1640"/>
      <c r="AK308" s="1640"/>
      <c r="AL308" s="1640"/>
      <c r="AM308" s="1640"/>
      <c r="AN308" s="1640"/>
      <c r="AO308" s="1640"/>
      <c r="AP308" s="1640"/>
      <c r="AQ308" s="1640"/>
      <c r="AR308" s="1640"/>
      <c r="AS308" s="1640"/>
      <c r="AT308" s="1640"/>
      <c r="AU308" s="1640"/>
      <c r="AV308" s="1640"/>
      <c r="AW308" s="1640"/>
      <c r="AX308" s="1640"/>
      <c r="AY308" s="1640"/>
      <c r="AZ308" s="1640"/>
      <c r="BA308" s="1640"/>
      <c r="BB308" s="1640"/>
      <c r="BC308" s="1640"/>
      <c r="BD308" s="1640"/>
      <c r="BE308" s="1640"/>
      <c r="BF308" s="1640"/>
      <c r="BG308" s="1640"/>
      <c r="BH308" s="1640"/>
      <c r="BI308" s="1640"/>
      <c r="BJ308" s="1640"/>
      <c r="BK308" s="1640"/>
      <c r="BL308" s="1640"/>
      <c r="BM308" s="1640"/>
      <c r="BN308" s="1640"/>
      <c r="BO308" s="1640"/>
      <c r="BP308" s="1640"/>
      <c r="BQ308" s="1640"/>
      <c r="BR308" s="1640"/>
      <c r="BS308" s="1640"/>
      <c r="BT308" s="1640"/>
      <c r="BU308" s="1640"/>
      <c r="BV308" s="1164"/>
      <c r="BW308" s="1164"/>
      <c r="BX308" s="1164"/>
      <c r="BY308" s="1164"/>
      <c r="BZ308" s="1164"/>
      <c r="CA308" s="1164"/>
      <c r="CB308" s="1164"/>
      <c r="CC308" s="1164"/>
      <c r="CD308" s="1164"/>
      <c r="CE308" s="1164"/>
      <c r="CF308" s="1851"/>
    </row>
    <row customHeight="1" ht="11.25" hidden="1">
      <c r="A309" s="1796"/>
      <c r="B309" s="1640"/>
      <c r="C309" s="1640"/>
      <c r="D309" s="2596"/>
      <c r="E309" s="639"/>
      <c r="F309" s="639">
        <v>0</v>
      </c>
      <c r="G309" s="639"/>
      <c r="H309" s="639"/>
      <c r="I309" s="639"/>
      <c r="J309" s="639"/>
      <c r="K309" s="639"/>
      <c r="L309" s="639"/>
      <c r="M309" s="639"/>
      <c r="N309" s="639"/>
      <c r="O309" s="639"/>
      <c r="P309" s="639"/>
      <c r="Q309" s="639"/>
      <c r="R309" s="639"/>
      <c r="S309" s="640"/>
      <c r="T309" s="722"/>
      <c r="U309" s="2391"/>
      <c r="V309" s="2391"/>
      <c r="W309" s="1640"/>
      <c r="X309" s="1640"/>
      <c r="Y309" s="1640"/>
      <c r="Z309" s="1640"/>
      <c r="AA309" s="1640"/>
      <c r="AB309" s="1164"/>
      <c r="AC309" s="1799"/>
      <c r="AD309" s="633"/>
      <c r="AE309" s="1164"/>
      <c r="AF309" s="1164"/>
      <c r="AG309" s="1640"/>
      <c r="AH309" s="1640"/>
      <c r="AI309" s="1640"/>
      <c r="AJ309" s="1640"/>
      <c r="AK309" s="1640"/>
      <c r="AL309" s="1640"/>
      <c r="AM309" s="1640"/>
      <c r="AN309" s="1640"/>
      <c r="AO309" s="1640"/>
      <c r="AP309" s="1640"/>
      <c r="AQ309" s="1640"/>
      <c r="AR309" s="1640"/>
      <c r="AS309" s="1640"/>
      <c r="AT309" s="1640"/>
      <c r="AU309" s="1640"/>
      <c r="AV309" s="1640"/>
      <c r="AW309" s="1640"/>
      <c r="AX309" s="1640"/>
      <c r="AY309" s="1640"/>
      <c r="AZ309" s="1640"/>
      <c r="BA309" s="1640"/>
      <c r="BB309" s="1640"/>
      <c r="BC309" s="1640"/>
      <c r="BD309" s="1640"/>
      <c r="BE309" s="1640"/>
      <c r="BF309" s="1640"/>
      <c r="BG309" s="1640"/>
      <c r="BH309" s="1640"/>
      <c r="BI309" s="1640"/>
      <c r="BJ309" s="1640"/>
      <c r="BK309" s="1640"/>
      <c r="BL309" s="1640"/>
      <c r="BM309" s="1640"/>
      <c r="BN309" s="1640"/>
      <c r="BO309" s="1640"/>
      <c r="BP309" s="1640"/>
      <c r="BQ309" s="1640"/>
      <c r="BR309" s="1640"/>
      <c r="BS309" s="1640"/>
      <c r="BT309" s="1640"/>
      <c r="BU309" s="1640"/>
      <c r="BV309" s="1640"/>
      <c r="BW309" s="1640"/>
      <c r="BX309" s="1640"/>
      <c r="BY309" s="1640"/>
      <c r="BZ309" s="1640"/>
      <c r="CA309" s="1640"/>
      <c r="CB309" s="1640"/>
      <c r="CC309" s="1640"/>
      <c r="CD309" s="1640"/>
      <c r="CE309" s="1640"/>
      <c r="CF309" s="1851"/>
    </row>
    <row customHeight="1" ht="11.25" hidden="1">
      <c r="A310" s="1809"/>
      <c r="B310" s="1164"/>
      <c r="C310" s="416"/>
      <c r="D310" s="2597"/>
      <c r="E310" s="653" t="s">
        <v>22</v>
      </c>
      <c r="F310" s="1172" t="s">
        <v>22</v>
      </c>
      <c r="G310" s="1172" t="s">
        <v>760</v>
      </c>
      <c r="H310" s="655" t="s">
        <v>22</v>
      </c>
      <c r="I310" s="655"/>
      <c r="J310" s="655"/>
      <c r="K310" s="655"/>
      <c r="L310" s="655"/>
      <c r="M310" s="655"/>
      <c r="N310" s="655"/>
      <c r="O310" s="655"/>
      <c r="P310" s="655"/>
      <c r="Q310" s="655"/>
      <c r="R310" s="656"/>
      <c r="S310" s="657"/>
      <c r="T310" s="722"/>
      <c r="U310" s="2391"/>
      <c r="V310" s="2391"/>
      <c r="W310" s="1164"/>
      <c r="X310" s="1164"/>
      <c r="Y310" s="1164"/>
      <c r="Z310" s="1164"/>
      <c r="AA310" s="1640"/>
      <c r="AB310" s="1164"/>
      <c r="AC310" s="1799"/>
      <c r="AD310" s="633"/>
      <c r="AE310" s="1164"/>
      <c r="AF310" s="1164"/>
      <c r="AG310" s="1640"/>
      <c r="AH310" s="1640"/>
      <c r="AI310" s="1640"/>
      <c r="AJ310" s="1640"/>
      <c r="AK310" s="1640"/>
      <c r="AL310" s="1640"/>
      <c r="AM310" s="1640"/>
      <c r="AN310" s="1640"/>
      <c r="AO310" s="1640"/>
      <c r="AP310" s="1640"/>
      <c r="AQ310" s="1640"/>
      <c r="AR310" s="1640"/>
      <c r="AS310" s="1640"/>
      <c r="AT310" s="1640"/>
      <c r="AU310" s="1640"/>
      <c r="AV310" s="1640"/>
      <c r="AW310" s="1640"/>
      <c r="AX310" s="1640"/>
      <c r="AY310" s="1640"/>
      <c r="AZ310" s="1640"/>
      <c r="BA310" s="1640"/>
      <c r="BB310" s="1640"/>
      <c r="BC310" s="1640"/>
      <c r="BD310" s="1640"/>
      <c r="BE310" s="1640"/>
      <c r="BF310" s="1640"/>
      <c r="BG310" s="1640"/>
      <c r="BH310" s="1640"/>
      <c r="BI310" s="1640"/>
      <c r="BJ310" s="1640"/>
      <c r="BK310" s="1640"/>
      <c r="BL310" s="1640"/>
      <c r="BM310" s="1640"/>
      <c r="BN310" s="1640"/>
      <c r="BO310" s="1640"/>
      <c r="BP310" s="1640"/>
      <c r="BQ310" s="1640"/>
      <c r="BR310" s="1640"/>
      <c r="BS310" s="1640"/>
      <c r="BT310" s="1640"/>
      <c r="BU310" s="1640"/>
      <c r="BV310" s="1164"/>
      <c r="BW310" s="1164"/>
      <c r="BX310" s="1164"/>
      <c r="BY310" s="1164"/>
      <c r="BZ310" s="1164"/>
      <c r="CA310" s="1164"/>
      <c r="CB310" s="1164"/>
      <c r="CC310" s="1164"/>
      <c r="CD310" s="1164"/>
      <c r="CE310" s="1164"/>
      <c r="CF310" s="1851"/>
    </row>
    <row customHeight="1" ht="15" hidden="1">
      <c r="A311" s="627" t="s">
        <v>248</v>
      </c>
      <c r="B311" s="628"/>
      <c r="C311" s="628" t="s">
        <v>22</v>
      </c>
      <c r="D311" s="2595" t="s">
        <v>792</v>
      </c>
      <c r="E311" s="2394" t="s">
        <v>173</v>
      </c>
      <c r="F311" s="2395"/>
      <c r="G311" s="2396"/>
      <c r="H311" s="2400" t="str">
        <f>IF(A311="","",INDEX(DIFFERENTIATION_UNMERGE_VD,MATCH(A311,DIFFERENTIATION_ID_DIFF,0)))</f>
        <v>Подключение (технологическое присоединение) к централизованной системе водоснабжения</v>
      </c>
      <c r="I311" s="2400"/>
      <c r="J311" s="2400"/>
      <c r="K311" s="2400"/>
      <c r="L311" s="2400"/>
      <c r="M311" s="2400"/>
      <c r="N311" s="2400"/>
      <c r="O311" s="2400"/>
      <c r="P311" s="2400"/>
      <c r="Q311" s="2400"/>
      <c r="R311" s="2400"/>
      <c r="S311" s="723"/>
      <c r="T311" s="720"/>
      <c r="U311" s="629"/>
      <c r="V311" s="629"/>
      <c r="W311" s="630"/>
      <c r="X311" s="630"/>
      <c r="Y311" s="630"/>
      <c r="Z311" s="630"/>
      <c r="AA311" s="631"/>
      <c r="AB311" s="632"/>
      <c r="AC311" s="2392"/>
      <c r="AD311" s="633"/>
      <c r="AE311" s="634" t="s">
        <v>22</v>
      </c>
      <c r="AF311" s="634"/>
      <c r="AG311" s="635" t="s">
        <v>754</v>
      </c>
      <c r="AH311" s="636">
        <v>3</v>
      </c>
      <c r="AI311" s="629"/>
      <c r="AJ311" s="629"/>
      <c r="AK311" s="629"/>
      <c r="AL311" s="629"/>
      <c r="AM311" s="629"/>
      <c r="AN311" s="629"/>
      <c r="AO311" s="629"/>
      <c r="AP311" s="629"/>
      <c r="AQ311" s="629"/>
      <c r="AR311" s="629"/>
      <c r="AS311" s="629"/>
      <c r="AT311" s="629"/>
      <c r="AU311" s="629"/>
      <c r="AV311" s="629"/>
      <c r="AW311" s="629"/>
      <c r="AX311" s="629"/>
      <c r="AY311" s="629"/>
      <c r="AZ311" s="629"/>
      <c r="BA311" s="629"/>
      <c r="BB311" s="629"/>
      <c r="BC311" s="629"/>
      <c r="BD311" s="629"/>
      <c r="BE311" s="629"/>
      <c r="BF311" s="629"/>
      <c r="BG311" s="629"/>
      <c r="BH311" s="629"/>
      <c r="BI311" s="629"/>
      <c r="BJ311" s="629"/>
      <c r="BK311" s="629"/>
      <c r="BL311" s="629"/>
      <c r="BM311" s="629"/>
      <c r="BN311" s="629"/>
      <c r="BO311" s="629"/>
      <c r="BP311" s="629"/>
      <c r="BQ311" s="629"/>
      <c r="BR311" s="629"/>
      <c r="BS311" s="629"/>
      <c r="BT311" s="629"/>
      <c r="BU311" s="629"/>
      <c r="BV311" s="630"/>
      <c r="BW311" s="630"/>
      <c r="BX311" s="630"/>
      <c r="BY311" s="630"/>
      <c r="BZ311" s="630"/>
      <c r="CA311" s="630"/>
      <c r="CB311" s="630"/>
      <c r="CC311" s="630"/>
      <c r="CD311" s="630"/>
      <c r="CE311" s="630"/>
      <c r="CF311" s="1851"/>
    </row>
    <row customHeight="1" ht="15" hidden="1">
      <c r="A312" s="627"/>
      <c r="B312" s="628"/>
      <c r="C312" s="628"/>
      <c r="D312" s="2596"/>
      <c r="E312" s="2394" t="s">
        <v>702</v>
      </c>
      <c r="F312" s="2395"/>
      <c r="G312" s="2396"/>
      <c r="H312" s="2400" t="str">
        <f>IF(A311="","",INDEX(DIFFERENTIATION_UNMERGE_AREA,MATCH(A311,DIFFERENTIATION_ID_DIFF,0)))</f>
        <v>Территория 1</v>
      </c>
      <c r="I312" s="2400"/>
      <c r="J312" s="2400"/>
      <c r="K312" s="2400"/>
      <c r="L312" s="2400"/>
      <c r="M312" s="2400"/>
      <c r="N312" s="2400"/>
      <c r="O312" s="2400"/>
      <c r="P312" s="2400"/>
      <c r="Q312" s="2400"/>
      <c r="R312" s="2400"/>
      <c r="S312" s="723"/>
      <c r="T312" s="720"/>
      <c r="U312" s="629"/>
      <c r="V312" s="629"/>
      <c r="W312" s="630"/>
      <c r="X312" s="630"/>
      <c r="Y312" s="630"/>
      <c r="Z312" s="630"/>
      <c r="AA312" s="631"/>
      <c r="AB312" s="632"/>
      <c r="AC312" s="2392"/>
      <c r="AD312" s="633"/>
      <c r="AE312" s="634"/>
      <c r="AF312" s="634"/>
      <c r="AG312" s="635"/>
      <c r="AH312" s="636"/>
      <c r="AI312" s="629"/>
      <c r="AJ312" s="629"/>
      <c r="AK312" s="629"/>
      <c r="AL312" s="629"/>
      <c r="AM312" s="629"/>
      <c r="AN312" s="629"/>
      <c r="AO312" s="629"/>
      <c r="AP312" s="629"/>
      <c r="AQ312" s="629"/>
      <c r="AR312" s="629"/>
      <c r="AS312" s="629"/>
      <c r="AT312" s="629"/>
      <c r="AU312" s="629"/>
      <c r="AV312" s="629"/>
      <c r="AW312" s="629"/>
      <c r="AX312" s="629"/>
      <c r="AY312" s="629"/>
      <c r="AZ312" s="629"/>
      <c r="BA312" s="629"/>
      <c r="BB312" s="629"/>
      <c r="BC312" s="629"/>
      <c r="BD312" s="629"/>
      <c r="BE312" s="629"/>
      <c r="BF312" s="629"/>
      <c r="BG312" s="629"/>
      <c r="BH312" s="629"/>
      <c r="BI312" s="629"/>
      <c r="BJ312" s="629"/>
      <c r="BK312" s="629"/>
      <c r="BL312" s="629"/>
      <c r="BM312" s="629"/>
      <c r="BN312" s="629"/>
      <c r="BO312" s="629"/>
      <c r="BP312" s="629"/>
      <c r="BQ312" s="629"/>
      <c r="BR312" s="629"/>
      <c r="BS312" s="629"/>
      <c r="BT312" s="629"/>
      <c r="BU312" s="629"/>
      <c r="BV312" s="630"/>
      <c r="BW312" s="630"/>
      <c r="BX312" s="630"/>
      <c r="BY312" s="630"/>
      <c r="BZ312" s="630"/>
      <c r="CA312" s="630"/>
      <c r="CB312" s="630"/>
      <c r="CC312" s="630"/>
      <c r="CD312" s="630"/>
      <c r="CE312" s="630"/>
      <c r="CF312" s="1851"/>
    </row>
    <row customHeight="1" ht="15" hidden="1">
      <c r="A313" s="627"/>
      <c r="B313" s="628"/>
      <c r="C313" s="628"/>
      <c r="D313" s="2596"/>
      <c r="E313" s="2394" t="s">
        <v>703</v>
      </c>
      <c r="F313" s="2395"/>
      <c r="G313" s="2396"/>
      <c r="H313" s="2400" t="str">
        <f>IF(A311="","",INDEX(DIFFERENTIATION_UNMERGE_SYSTEM,MATCH(A311,DIFFERENTIATION_ID_DIFF,0)))</f>
        <v>пгт Посьет Хасанский муниципальный округ</v>
      </c>
      <c r="I313" s="2400"/>
      <c r="J313" s="2400"/>
      <c r="K313" s="2400"/>
      <c r="L313" s="2400"/>
      <c r="M313" s="2400"/>
      <c r="N313" s="2400"/>
      <c r="O313" s="2400"/>
      <c r="P313" s="2400"/>
      <c r="Q313" s="2400"/>
      <c r="R313" s="2400"/>
      <c r="S313" s="723"/>
      <c r="T313" s="720"/>
      <c r="U313" s="629"/>
      <c r="V313" s="629"/>
      <c r="W313" s="630"/>
      <c r="X313" s="630"/>
      <c r="Y313" s="630"/>
      <c r="Z313" s="630"/>
      <c r="AA313" s="631"/>
      <c r="AB313" s="632"/>
      <c r="AC313" s="2392"/>
      <c r="AD313" s="633"/>
      <c r="AE313" s="634"/>
      <c r="AF313" s="634"/>
      <c r="AG313" s="635"/>
      <c r="AH313" s="636"/>
      <c r="AI313" s="629"/>
      <c r="AJ313" s="629"/>
      <c r="AK313" s="629"/>
      <c r="AL313" s="629"/>
      <c r="AM313" s="629"/>
      <c r="AN313" s="629"/>
      <c r="AO313" s="629"/>
      <c r="AP313" s="629"/>
      <c r="AQ313" s="629"/>
      <c r="AR313" s="629"/>
      <c r="AS313" s="629"/>
      <c r="AT313" s="629"/>
      <c r="AU313" s="629"/>
      <c r="AV313" s="629"/>
      <c r="AW313" s="629"/>
      <c r="AX313" s="629"/>
      <c r="AY313" s="629"/>
      <c r="AZ313" s="629"/>
      <c r="BA313" s="629"/>
      <c r="BB313" s="629"/>
      <c r="BC313" s="629"/>
      <c r="BD313" s="629"/>
      <c r="BE313" s="629"/>
      <c r="BF313" s="629"/>
      <c r="BG313" s="629"/>
      <c r="BH313" s="629"/>
      <c r="BI313" s="629"/>
      <c r="BJ313" s="629"/>
      <c r="BK313" s="629"/>
      <c r="BL313" s="629"/>
      <c r="BM313" s="629"/>
      <c r="BN313" s="629"/>
      <c r="BO313" s="629"/>
      <c r="BP313" s="629"/>
      <c r="BQ313" s="629"/>
      <c r="BR313" s="629"/>
      <c r="BS313" s="629"/>
      <c r="BT313" s="629"/>
      <c r="BU313" s="629"/>
      <c r="BV313" s="630"/>
      <c r="BW313" s="630"/>
      <c r="BX313" s="630"/>
      <c r="BY313" s="630"/>
      <c r="BZ313" s="630"/>
      <c r="CA313" s="630"/>
      <c r="CB313" s="630"/>
      <c r="CC313" s="630"/>
      <c r="CD313" s="630"/>
      <c r="CE313" s="630"/>
      <c r="CF313" s="1851"/>
    </row>
    <row customHeight="1" ht="24.75" hidden="1">
      <c r="A314" s="1809"/>
      <c r="B314" s="1164"/>
      <c r="C314" s="416"/>
      <c r="D314" s="2596"/>
      <c r="E314" s="2393" t="s">
        <v>755</v>
      </c>
      <c r="F314" s="2393"/>
      <c r="G314" s="2393"/>
      <c r="H314" s="2393"/>
      <c r="I314" s="2393"/>
      <c r="J314" s="2393"/>
      <c r="K314" s="2393"/>
      <c r="L314" s="2393"/>
      <c r="M314" s="2393"/>
      <c r="N314" s="2393"/>
      <c r="O314" s="2393"/>
      <c r="P314" s="2393"/>
      <c r="Q314" s="562">
        <f>SUMIF(T315:T316,"i",Q315:Q316)</f>
        <v>0</v>
      </c>
      <c r="R314" s="1021"/>
      <c r="S314" s="1801" t="s">
        <v>756</v>
      </c>
      <c r="T314" s="721" t="s">
        <v>757</v>
      </c>
      <c r="U314" s="2391">
        <v>1</v>
      </c>
      <c r="V314" s="2391" t="str">
        <f>INDEX(B_FHD_FLAG_INDEX_1,1,MATCH(A311,B_FHD_FLAG_DIFFERENTIATION,0))</f>
        <v>отсутствует</v>
      </c>
      <c r="W314" s="1164"/>
      <c r="X314" s="1164"/>
      <c r="Y314" s="1164"/>
      <c r="Z314" s="1164"/>
      <c r="AA314" s="1640"/>
      <c r="AB314" s="1164"/>
      <c r="AC314" s="2392"/>
      <c r="AD314" s="633"/>
      <c r="AE314" s="1164"/>
      <c r="AF314" s="1164"/>
      <c r="AG314" s="1640"/>
      <c r="AH314" s="1640"/>
      <c r="AI314" s="1640"/>
      <c r="AJ314" s="1640"/>
      <c r="AK314" s="1640"/>
      <c r="AL314" s="1640"/>
      <c r="AM314" s="1640"/>
      <c r="AN314" s="1640"/>
      <c r="AO314" s="1640"/>
      <c r="AP314" s="1640"/>
      <c r="AQ314" s="1640"/>
      <c r="AR314" s="1640"/>
      <c r="AS314" s="1640"/>
      <c r="AT314" s="1640"/>
      <c r="AU314" s="1640"/>
      <c r="AV314" s="1640"/>
      <c r="AW314" s="1640"/>
      <c r="AX314" s="1640"/>
      <c r="AY314" s="1640"/>
      <c r="AZ314" s="1640"/>
      <c r="BA314" s="1640"/>
      <c r="BB314" s="1640"/>
      <c r="BC314" s="1640"/>
      <c r="BD314" s="1640"/>
      <c r="BE314" s="1640"/>
      <c r="BF314" s="1640"/>
      <c r="BG314" s="1640"/>
      <c r="BH314" s="1640"/>
      <c r="BI314" s="1640"/>
      <c r="BJ314" s="1640"/>
      <c r="BK314" s="1640"/>
      <c r="BL314" s="1640"/>
      <c r="BM314" s="1640"/>
      <c r="BN314" s="1640"/>
      <c r="BO314" s="1640"/>
      <c r="BP314" s="1640"/>
      <c r="BQ314" s="1640"/>
      <c r="BR314" s="1640"/>
      <c r="BS314" s="1640"/>
      <c r="BT314" s="1640"/>
      <c r="BU314" s="1640"/>
      <c r="BV314" s="1164"/>
      <c r="BW314" s="1164"/>
      <c r="BX314" s="1164"/>
      <c r="BY314" s="1164"/>
      <c r="BZ314" s="1164"/>
      <c r="CA314" s="1164"/>
      <c r="CB314" s="1164"/>
      <c r="CC314" s="1164"/>
      <c r="CD314" s="1164"/>
      <c r="CE314" s="1164"/>
      <c r="CF314" s="1851"/>
    </row>
    <row customHeight="1" ht="11.25" hidden="1">
      <c r="A315" s="1796"/>
      <c r="B315" s="1640"/>
      <c r="C315" s="1640"/>
      <c r="D315" s="2596"/>
      <c r="E315" s="639"/>
      <c r="F315" s="639">
        <v>0</v>
      </c>
      <c r="G315" s="639"/>
      <c r="H315" s="639"/>
      <c r="I315" s="639"/>
      <c r="J315" s="639"/>
      <c r="K315" s="639"/>
      <c r="L315" s="639"/>
      <c r="M315" s="639"/>
      <c r="N315" s="639"/>
      <c r="O315" s="639"/>
      <c r="P315" s="639"/>
      <c r="Q315" s="639"/>
      <c r="R315" s="639"/>
      <c r="S315" s="640"/>
      <c r="T315" s="722"/>
      <c r="U315" s="2391"/>
      <c r="V315" s="2391"/>
      <c r="W315" s="1640"/>
      <c r="X315" s="1640"/>
      <c r="Y315" s="1640"/>
      <c r="Z315" s="1640"/>
      <c r="AA315" s="1640"/>
      <c r="AB315" s="1164"/>
      <c r="AC315" s="2392"/>
      <c r="AD315" s="633"/>
      <c r="AE315" s="1164"/>
      <c r="AF315" s="1164"/>
      <c r="AG315" s="1640"/>
      <c r="AH315" s="1640"/>
      <c r="AI315" s="1640"/>
      <c r="AJ315" s="1640"/>
      <c r="AK315" s="1640"/>
      <c r="AL315" s="1640"/>
      <c r="AM315" s="1640"/>
      <c r="AN315" s="1640"/>
      <c r="AO315" s="1640"/>
      <c r="AP315" s="1640"/>
      <c r="AQ315" s="1640"/>
      <c r="AR315" s="1640"/>
      <c r="AS315" s="1640"/>
      <c r="AT315" s="1640"/>
      <c r="AU315" s="1640"/>
      <c r="AV315" s="1640"/>
      <c r="AW315" s="1640"/>
      <c r="AX315" s="1640"/>
      <c r="AY315" s="1640"/>
      <c r="AZ315" s="1640"/>
      <c r="BA315" s="1640"/>
      <c r="BB315" s="1640"/>
      <c r="BC315" s="1640"/>
      <c r="BD315" s="1640"/>
      <c r="BE315" s="1640"/>
      <c r="BF315" s="1640"/>
      <c r="BG315" s="1640"/>
      <c r="BH315" s="1640"/>
      <c r="BI315" s="1640"/>
      <c r="BJ315" s="1640"/>
      <c r="BK315" s="1640"/>
      <c r="BL315" s="1640"/>
      <c r="BM315" s="1640"/>
      <c r="BN315" s="1640"/>
      <c r="BO315" s="1640"/>
      <c r="BP315" s="1640"/>
      <c r="BQ315" s="1640"/>
      <c r="BR315" s="1640"/>
      <c r="BS315" s="1640"/>
      <c r="BT315" s="1640"/>
      <c r="BU315" s="1640"/>
      <c r="BV315" s="1640"/>
      <c r="BW315" s="1640"/>
      <c r="BX315" s="1640"/>
      <c r="BY315" s="1640"/>
      <c r="BZ315" s="1640"/>
      <c r="CA315" s="1640"/>
      <c r="CB315" s="1640"/>
      <c r="CC315" s="1640"/>
      <c r="CD315" s="1640"/>
      <c r="CE315" s="1640"/>
      <c r="CF315" s="1851"/>
    </row>
    <row customHeight="1" ht="11.25" hidden="1">
      <c r="A316" s="1809"/>
      <c r="B316" s="1164"/>
      <c r="C316" s="416"/>
      <c r="D316" s="2596"/>
      <c r="E316" s="653" t="s">
        <v>22</v>
      </c>
      <c r="F316" s="1172" t="s">
        <v>22</v>
      </c>
      <c r="G316" s="1172" t="s">
        <v>760</v>
      </c>
      <c r="H316" s="655" t="s">
        <v>22</v>
      </c>
      <c r="I316" s="655"/>
      <c r="J316" s="655"/>
      <c r="K316" s="655"/>
      <c r="L316" s="655"/>
      <c r="M316" s="655"/>
      <c r="N316" s="655"/>
      <c r="O316" s="655"/>
      <c r="P316" s="655"/>
      <c r="Q316" s="655"/>
      <c r="R316" s="656"/>
      <c r="S316" s="657"/>
      <c r="T316" s="722"/>
      <c r="U316" s="2391"/>
      <c r="V316" s="2391"/>
      <c r="W316" s="1164"/>
      <c r="X316" s="1164"/>
      <c r="Y316" s="1164"/>
      <c r="Z316" s="1164"/>
      <c r="AA316" s="1640"/>
      <c r="AB316" s="1164"/>
      <c r="AC316" s="2392"/>
      <c r="AD316" s="633"/>
      <c r="AE316" s="1164"/>
      <c r="AF316" s="1164"/>
      <c r="AG316" s="1640"/>
      <c r="AH316" s="1640"/>
      <c r="AI316" s="1640"/>
      <c r="AJ316" s="1640"/>
      <c r="AK316" s="1640"/>
      <c r="AL316" s="1640"/>
      <c r="AM316" s="1640"/>
      <c r="AN316" s="1640"/>
      <c r="AO316" s="1640"/>
      <c r="AP316" s="1640"/>
      <c r="AQ316" s="1640"/>
      <c r="AR316" s="1640"/>
      <c r="AS316" s="1640"/>
      <c r="AT316" s="1640"/>
      <c r="AU316" s="1640"/>
      <c r="AV316" s="1640"/>
      <c r="AW316" s="1640"/>
      <c r="AX316" s="1640"/>
      <c r="AY316" s="1640"/>
      <c r="AZ316" s="1640"/>
      <c r="BA316" s="1640"/>
      <c r="BB316" s="1640"/>
      <c r="BC316" s="1640"/>
      <c r="BD316" s="1640"/>
      <c r="BE316" s="1640"/>
      <c r="BF316" s="1640"/>
      <c r="BG316" s="1640"/>
      <c r="BH316" s="1640"/>
      <c r="BI316" s="1640"/>
      <c r="BJ316" s="1640"/>
      <c r="BK316" s="1640"/>
      <c r="BL316" s="1640"/>
      <c r="BM316" s="1640"/>
      <c r="BN316" s="1640"/>
      <c r="BO316" s="1640"/>
      <c r="BP316" s="1640"/>
      <c r="BQ316" s="1640"/>
      <c r="BR316" s="1640"/>
      <c r="BS316" s="1640"/>
      <c r="BT316" s="1640"/>
      <c r="BU316" s="1640"/>
      <c r="BV316" s="1164"/>
      <c r="BW316" s="1164"/>
      <c r="BX316" s="1164"/>
      <c r="BY316" s="1164"/>
      <c r="BZ316" s="1164"/>
      <c r="CA316" s="1164"/>
      <c r="CB316" s="1164"/>
      <c r="CC316" s="1164"/>
      <c r="CD316" s="1164"/>
      <c r="CE316" s="1164"/>
      <c r="CF316" s="1851"/>
    </row>
    <row customHeight="1" ht="24.75" hidden="1">
      <c r="A317" s="1809"/>
      <c r="B317" s="1164"/>
      <c r="C317" s="416"/>
      <c r="D317" s="2596"/>
      <c r="E317" s="2393" t="s">
        <v>758</v>
      </c>
      <c r="F317" s="2393"/>
      <c r="G317" s="2393"/>
      <c r="H317" s="2393"/>
      <c r="I317" s="2393"/>
      <c r="J317" s="2393"/>
      <c r="K317" s="2393"/>
      <c r="L317" s="2393"/>
      <c r="M317" s="2393"/>
      <c r="N317" s="2393"/>
      <c r="O317" s="2393"/>
      <c r="P317" s="2393"/>
      <c r="Q317" s="562">
        <f>SUMIF(T318:T319,"i",Q318:Q319)</f>
        <v>0</v>
      </c>
      <c r="R317" s="1021"/>
      <c r="S317" s="1801" t="s">
        <v>759</v>
      </c>
      <c r="T317" s="721" t="s">
        <v>757</v>
      </c>
      <c r="U317" s="2391">
        <v>1</v>
      </c>
      <c r="V317" s="2391" t="str">
        <f>INDEX(B_FHD_FLAG_INDEX_2,1,MATCH(A311,B_FHD_FLAG_DIFFERENTIATION,0))</f>
        <v>отсутствует</v>
      </c>
      <c r="W317" s="1164"/>
      <c r="X317" s="1164"/>
      <c r="Y317" s="1164"/>
      <c r="Z317" s="1164"/>
      <c r="AA317" s="1640"/>
      <c r="AB317" s="1164"/>
      <c r="AC317" s="1799"/>
      <c r="AD317" s="633"/>
      <c r="AE317" s="1164"/>
      <c r="AF317" s="1164"/>
      <c r="AG317" s="1640"/>
      <c r="AH317" s="1640"/>
      <c r="AI317" s="1640"/>
      <c r="AJ317" s="1640"/>
      <c r="AK317" s="1640"/>
      <c r="AL317" s="1640"/>
      <c r="AM317" s="1640"/>
      <c r="AN317" s="1640"/>
      <c r="AO317" s="1640"/>
      <c r="AP317" s="1640"/>
      <c r="AQ317" s="1640"/>
      <c r="AR317" s="1640"/>
      <c r="AS317" s="1640"/>
      <c r="AT317" s="1640"/>
      <c r="AU317" s="1640"/>
      <c r="AV317" s="1640"/>
      <c r="AW317" s="1640"/>
      <c r="AX317" s="1640"/>
      <c r="AY317" s="1640"/>
      <c r="AZ317" s="1640"/>
      <c r="BA317" s="1640"/>
      <c r="BB317" s="1640"/>
      <c r="BC317" s="1640"/>
      <c r="BD317" s="1640"/>
      <c r="BE317" s="1640"/>
      <c r="BF317" s="1640"/>
      <c r="BG317" s="1640"/>
      <c r="BH317" s="1640"/>
      <c r="BI317" s="1640"/>
      <c r="BJ317" s="1640"/>
      <c r="BK317" s="1640"/>
      <c r="BL317" s="1640"/>
      <c r="BM317" s="1640"/>
      <c r="BN317" s="1640"/>
      <c r="BO317" s="1640"/>
      <c r="BP317" s="1640"/>
      <c r="BQ317" s="1640"/>
      <c r="BR317" s="1640"/>
      <c r="BS317" s="1640"/>
      <c r="BT317" s="1640"/>
      <c r="BU317" s="1640"/>
      <c r="BV317" s="1164"/>
      <c r="BW317" s="1164"/>
      <c r="BX317" s="1164"/>
      <c r="BY317" s="1164"/>
      <c r="BZ317" s="1164"/>
      <c r="CA317" s="1164"/>
      <c r="CB317" s="1164"/>
      <c r="CC317" s="1164"/>
      <c r="CD317" s="1164"/>
      <c r="CE317" s="1164"/>
      <c r="CF317" s="1851"/>
    </row>
    <row customHeight="1" ht="11.25" hidden="1">
      <c r="A318" s="1796"/>
      <c r="B318" s="1640"/>
      <c r="C318" s="1640"/>
      <c r="D318" s="2596"/>
      <c r="E318" s="639"/>
      <c r="F318" s="639">
        <v>0</v>
      </c>
      <c r="G318" s="639"/>
      <c r="H318" s="639"/>
      <c r="I318" s="639"/>
      <c r="J318" s="639"/>
      <c r="K318" s="639"/>
      <c r="L318" s="639"/>
      <c r="M318" s="639"/>
      <c r="N318" s="639"/>
      <c r="O318" s="639"/>
      <c r="P318" s="639"/>
      <c r="Q318" s="639"/>
      <c r="R318" s="639"/>
      <c r="S318" s="640"/>
      <c r="T318" s="722"/>
      <c r="U318" s="2391"/>
      <c r="V318" s="2391"/>
      <c r="W318" s="1640"/>
      <c r="X318" s="1640"/>
      <c r="Y318" s="1640"/>
      <c r="Z318" s="1640"/>
      <c r="AA318" s="1640"/>
      <c r="AB318" s="1164"/>
      <c r="AC318" s="1799"/>
      <c r="AD318" s="633"/>
      <c r="AE318" s="1164"/>
      <c r="AF318" s="1164"/>
      <c r="AG318" s="1640"/>
      <c r="AH318" s="1640"/>
      <c r="AI318" s="1640"/>
      <c r="AJ318" s="1640"/>
      <c r="AK318" s="1640"/>
      <c r="AL318" s="1640"/>
      <c r="AM318" s="1640"/>
      <c r="AN318" s="1640"/>
      <c r="AO318" s="1640"/>
      <c r="AP318" s="1640"/>
      <c r="AQ318" s="1640"/>
      <c r="AR318" s="1640"/>
      <c r="AS318" s="1640"/>
      <c r="AT318" s="1640"/>
      <c r="AU318" s="1640"/>
      <c r="AV318" s="1640"/>
      <c r="AW318" s="1640"/>
      <c r="AX318" s="1640"/>
      <c r="AY318" s="1640"/>
      <c r="AZ318" s="1640"/>
      <c r="BA318" s="1640"/>
      <c r="BB318" s="1640"/>
      <c r="BC318" s="1640"/>
      <c r="BD318" s="1640"/>
      <c r="BE318" s="1640"/>
      <c r="BF318" s="1640"/>
      <c r="BG318" s="1640"/>
      <c r="BH318" s="1640"/>
      <c r="BI318" s="1640"/>
      <c r="BJ318" s="1640"/>
      <c r="BK318" s="1640"/>
      <c r="BL318" s="1640"/>
      <c r="BM318" s="1640"/>
      <c r="BN318" s="1640"/>
      <c r="BO318" s="1640"/>
      <c r="BP318" s="1640"/>
      <c r="BQ318" s="1640"/>
      <c r="BR318" s="1640"/>
      <c r="BS318" s="1640"/>
      <c r="BT318" s="1640"/>
      <c r="BU318" s="1640"/>
      <c r="BV318" s="1640"/>
      <c r="BW318" s="1640"/>
      <c r="BX318" s="1640"/>
      <c r="BY318" s="1640"/>
      <c r="BZ318" s="1640"/>
      <c r="CA318" s="1640"/>
      <c r="CB318" s="1640"/>
      <c r="CC318" s="1640"/>
      <c r="CD318" s="1640"/>
      <c r="CE318" s="1640"/>
      <c r="CF318" s="1851"/>
    </row>
    <row customHeight="1" ht="11.25" hidden="1">
      <c r="A319" s="1809"/>
      <c r="B319" s="1164"/>
      <c r="C319" s="416"/>
      <c r="D319" s="2597"/>
      <c r="E319" s="653" t="s">
        <v>22</v>
      </c>
      <c r="F319" s="1172" t="s">
        <v>22</v>
      </c>
      <c r="G319" s="1172" t="s">
        <v>760</v>
      </c>
      <c r="H319" s="655" t="s">
        <v>22</v>
      </c>
      <c r="I319" s="655"/>
      <c r="J319" s="655"/>
      <c r="K319" s="655"/>
      <c r="L319" s="655"/>
      <c r="M319" s="655"/>
      <c r="N319" s="655"/>
      <c r="O319" s="655"/>
      <c r="P319" s="655"/>
      <c r="Q319" s="655"/>
      <c r="R319" s="656"/>
      <c r="S319" s="657"/>
      <c r="T319" s="722"/>
      <c r="U319" s="2391"/>
      <c r="V319" s="2391"/>
      <c r="W319" s="1164"/>
      <c r="X319" s="1164"/>
      <c r="Y319" s="1164"/>
      <c r="Z319" s="1164"/>
      <c r="AA319" s="1640"/>
      <c r="AB319" s="1164"/>
      <c r="AC319" s="1799"/>
      <c r="AD319" s="633"/>
      <c r="AE319" s="1164"/>
      <c r="AF319" s="1164"/>
      <c r="AG319" s="1640"/>
      <c r="AH319" s="1640"/>
      <c r="AI319" s="1640"/>
      <c r="AJ319" s="1640"/>
      <c r="AK319" s="1640"/>
      <c r="AL319" s="1640"/>
      <c r="AM319" s="1640"/>
      <c r="AN319" s="1640"/>
      <c r="AO319" s="1640"/>
      <c r="AP319" s="1640"/>
      <c r="AQ319" s="1640"/>
      <c r="AR319" s="1640"/>
      <c r="AS319" s="1640"/>
      <c r="AT319" s="1640"/>
      <c r="AU319" s="1640"/>
      <c r="AV319" s="1640"/>
      <c r="AW319" s="1640"/>
      <c r="AX319" s="1640"/>
      <c r="AY319" s="1640"/>
      <c r="AZ319" s="1640"/>
      <c r="BA319" s="1640"/>
      <c r="BB319" s="1640"/>
      <c r="BC319" s="1640"/>
      <c r="BD319" s="1640"/>
      <c r="BE319" s="1640"/>
      <c r="BF319" s="1640"/>
      <c r="BG319" s="1640"/>
      <c r="BH319" s="1640"/>
      <c r="BI319" s="1640"/>
      <c r="BJ319" s="1640"/>
      <c r="BK319" s="1640"/>
      <c r="BL319" s="1640"/>
      <c r="BM319" s="1640"/>
      <c r="BN319" s="1640"/>
      <c r="BO319" s="1640"/>
      <c r="BP319" s="1640"/>
      <c r="BQ319" s="1640"/>
      <c r="BR319" s="1640"/>
      <c r="BS319" s="1640"/>
      <c r="BT319" s="1640"/>
      <c r="BU319" s="1640"/>
      <c r="BV319" s="1164"/>
      <c r="BW319" s="1164"/>
      <c r="BX319" s="1164"/>
      <c r="BY319" s="1164"/>
      <c r="BZ319" s="1164"/>
      <c r="CA319" s="1164"/>
      <c r="CB319" s="1164"/>
      <c r="CC319" s="1164"/>
      <c r="CD319" s="1164"/>
      <c r="CE319" s="1164"/>
      <c r="CF319" s="1851"/>
    </row>
    <row customHeight="1" ht="15" hidden="1">
      <c r="A320" s="627" t="s">
        <v>256</v>
      </c>
      <c r="B320" s="628"/>
      <c r="C320" s="628" t="s">
        <v>22</v>
      </c>
      <c r="D320" s="2595" t="s">
        <v>793</v>
      </c>
      <c r="E320" s="2394" t="s">
        <v>173</v>
      </c>
      <c r="F320" s="2395"/>
      <c r="G320" s="2396"/>
      <c r="H320" s="2400" t="str">
        <f>IF(A320="","",INDEX(DIFFERENTIATION_UNMERGE_VD,MATCH(A320,DIFFERENTIATION_ID_DIFF,0)))</f>
        <v>Холодное водоснабжение. Подвозная вода</v>
      </c>
      <c r="I320" s="2400"/>
      <c r="J320" s="2400"/>
      <c r="K320" s="2400"/>
      <c r="L320" s="2400"/>
      <c r="M320" s="2400"/>
      <c r="N320" s="2400"/>
      <c r="O320" s="2400"/>
      <c r="P320" s="2400"/>
      <c r="Q320" s="2400"/>
      <c r="R320" s="2400"/>
      <c r="S320" s="723"/>
      <c r="T320" s="720"/>
      <c r="U320" s="629"/>
      <c r="V320" s="629"/>
      <c r="W320" s="630"/>
      <c r="X320" s="630"/>
      <c r="Y320" s="630"/>
      <c r="Z320" s="630"/>
      <c r="AA320" s="631"/>
      <c r="AB320" s="632"/>
      <c r="AC320" s="2392"/>
      <c r="AD320" s="633"/>
      <c r="AE320" s="634" t="s">
        <v>22</v>
      </c>
      <c r="AF320" s="634"/>
      <c r="AG320" s="635" t="s">
        <v>754</v>
      </c>
      <c r="AH320" s="636">
        <v>3</v>
      </c>
      <c r="AI320" s="629"/>
      <c r="AJ320" s="629"/>
      <c r="AK320" s="629"/>
      <c r="AL320" s="629"/>
      <c r="AM320" s="629"/>
      <c r="AN320" s="629"/>
      <c r="AO320" s="629"/>
      <c r="AP320" s="629"/>
      <c r="AQ320" s="629"/>
      <c r="AR320" s="629"/>
      <c r="AS320" s="629"/>
      <c r="AT320" s="629"/>
      <c r="AU320" s="629"/>
      <c r="AV320" s="629"/>
      <c r="AW320" s="629"/>
      <c r="AX320" s="629"/>
      <c r="AY320" s="629"/>
      <c r="AZ320" s="629"/>
      <c r="BA320" s="629"/>
      <c r="BB320" s="629"/>
      <c r="BC320" s="629"/>
      <c r="BD320" s="629"/>
      <c r="BE320" s="629"/>
      <c r="BF320" s="629"/>
      <c r="BG320" s="629"/>
      <c r="BH320" s="629"/>
      <c r="BI320" s="629"/>
      <c r="BJ320" s="629"/>
      <c r="BK320" s="629"/>
      <c r="BL320" s="629"/>
      <c r="BM320" s="629"/>
      <c r="BN320" s="629"/>
      <c r="BO320" s="629"/>
      <c r="BP320" s="629"/>
      <c r="BQ320" s="629"/>
      <c r="BR320" s="629"/>
      <c r="BS320" s="629"/>
      <c r="BT320" s="629"/>
      <c r="BU320" s="629"/>
      <c r="BV320" s="630"/>
      <c r="BW320" s="630"/>
      <c r="BX320" s="630"/>
      <c r="BY320" s="630"/>
      <c r="BZ320" s="630"/>
      <c r="CA320" s="630"/>
      <c r="CB320" s="630"/>
      <c r="CC320" s="630"/>
      <c r="CD320" s="630"/>
      <c r="CE320" s="630"/>
      <c r="CF320" s="1851"/>
    </row>
    <row customHeight="1" ht="15" hidden="1">
      <c r="A321" s="627"/>
      <c r="B321" s="628"/>
      <c r="C321" s="628"/>
      <c r="D321" s="2596"/>
      <c r="E321" s="2394" t="s">
        <v>702</v>
      </c>
      <c r="F321" s="2395"/>
      <c r="G321" s="2396"/>
      <c r="H321" s="2400" t="str">
        <f>IF(A320="","",INDEX(DIFFERENTIATION_UNMERGE_AREA,MATCH(A320,DIFFERENTIATION_ID_DIFF,0)))</f>
        <v>Территория 7</v>
      </c>
      <c r="I321" s="2400"/>
      <c r="J321" s="2400"/>
      <c r="K321" s="2400"/>
      <c r="L321" s="2400"/>
      <c r="M321" s="2400"/>
      <c r="N321" s="2400"/>
      <c r="O321" s="2400"/>
      <c r="P321" s="2400"/>
      <c r="Q321" s="2400"/>
      <c r="R321" s="2400"/>
      <c r="S321" s="723"/>
      <c r="T321" s="720"/>
      <c r="U321" s="629"/>
      <c r="V321" s="629"/>
      <c r="W321" s="630"/>
      <c r="X321" s="630"/>
      <c r="Y321" s="630"/>
      <c r="Z321" s="630"/>
      <c r="AA321" s="631"/>
      <c r="AB321" s="632"/>
      <c r="AC321" s="2392"/>
      <c r="AD321" s="633"/>
      <c r="AE321" s="634"/>
      <c r="AF321" s="634"/>
      <c r="AG321" s="635"/>
      <c r="AH321" s="636"/>
      <c r="AI321" s="629"/>
      <c r="AJ321" s="629"/>
      <c r="AK321" s="629"/>
      <c r="AL321" s="629"/>
      <c r="AM321" s="629"/>
      <c r="AN321" s="629"/>
      <c r="AO321" s="629"/>
      <c r="AP321" s="629"/>
      <c r="AQ321" s="629"/>
      <c r="AR321" s="629"/>
      <c r="AS321" s="629"/>
      <c r="AT321" s="629"/>
      <c r="AU321" s="629"/>
      <c r="AV321" s="629"/>
      <c r="AW321" s="629"/>
      <c r="AX321" s="629"/>
      <c r="AY321" s="629"/>
      <c r="AZ321" s="629"/>
      <c r="BA321" s="629"/>
      <c r="BB321" s="629"/>
      <c r="BC321" s="629"/>
      <c r="BD321" s="629"/>
      <c r="BE321" s="629"/>
      <c r="BF321" s="629"/>
      <c r="BG321" s="629"/>
      <c r="BH321" s="629"/>
      <c r="BI321" s="629"/>
      <c r="BJ321" s="629"/>
      <c r="BK321" s="629"/>
      <c r="BL321" s="629"/>
      <c r="BM321" s="629"/>
      <c r="BN321" s="629"/>
      <c r="BO321" s="629"/>
      <c r="BP321" s="629"/>
      <c r="BQ321" s="629"/>
      <c r="BR321" s="629"/>
      <c r="BS321" s="629"/>
      <c r="BT321" s="629"/>
      <c r="BU321" s="629"/>
      <c r="BV321" s="630"/>
      <c r="BW321" s="630"/>
      <c r="BX321" s="630"/>
      <c r="BY321" s="630"/>
      <c r="BZ321" s="630"/>
      <c r="CA321" s="630"/>
      <c r="CB321" s="630"/>
      <c r="CC321" s="630"/>
      <c r="CD321" s="630"/>
      <c r="CE321" s="630"/>
      <c r="CF321" s="1851"/>
    </row>
    <row customHeight="1" ht="15" hidden="1">
      <c r="A322" s="627"/>
      <c r="B322" s="628"/>
      <c r="C322" s="628"/>
      <c r="D322" s="2596"/>
      <c r="E322" s="2394" t="s">
        <v>703</v>
      </c>
      <c r="F322" s="2395"/>
      <c r="G322" s="2396"/>
      <c r="H322" s="2400" t="str">
        <f>IF(A320="","",INDEX(DIFFERENTIATION_UNMERGE_SYSTEM,MATCH(A320,DIFFERENTIATION_ID_DIFF,0)))</f>
        <v>Кавалеровский муниципальный район, Кавалеровкое городское поселение (05610151)</v>
      </c>
      <c r="I322" s="2400"/>
      <c r="J322" s="2400"/>
      <c r="K322" s="2400"/>
      <c r="L322" s="2400"/>
      <c r="M322" s="2400"/>
      <c r="N322" s="2400"/>
      <c r="O322" s="2400"/>
      <c r="P322" s="2400"/>
      <c r="Q322" s="2400"/>
      <c r="R322" s="2400"/>
      <c r="S322" s="723"/>
      <c r="T322" s="720"/>
      <c r="U322" s="629"/>
      <c r="V322" s="629"/>
      <c r="W322" s="630"/>
      <c r="X322" s="630"/>
      <c r="Y322" s="630"/>
      <c r="Z322" s="630"/>
      <c r="AA322" s="631"/>
      <c r="AB322" s="632"/>
      <c r="AC322" s="2392"/>
      <c r="AD322" s="633"/>
      <c r="AE322" s="634"/>
      <c r="AF322" s="634"/>
      <c r="AG322" s="635"/>
      <c r="AH322" s="636"/>
      <c r="AI322" s="629"/>
      <c r="AJ322" s="629"/>
      <c r="AK322" s="629"/>
      <c r="AL322" s="629"/>
      <c r="AM322" s="629"/>
      <c r="AN322" s="629"/>
      <c r="AO322" s="629"/>
      <c r="AP322" s="629"/>
      <c r="AQ322" s="629"/>
      <c r="AR322" s="629"/>
      <c r="AS322" s="629"/>
      <c r="AT322" s="629"/>
      <c r="AU322" s="629"/>
      <c r="AV322" s="629"/>
      <c r="AW322" s="629"/>
      <c r="AX322" s="629"/>
      <c r="AY322" s="629"/>
      <c r="AZ322" s="629"/>
      <c r="BA322" s="629"/>
      <c r="BB322" s="629"/>
      <c r="BC322" s="629"/>
      <c r="BD322" s="629"/>
      <c r="BE322" s="629"/>
      <c r="BF322" s="629"/>
      <c r="BG322" s="629"/>
      <c r="BH322" s="629"/>
      <c r="BI322" s="629"/>
      <c r="BJ322" s="629"/>
      <c r="BK322" s="629"/>
      <c r="BL322" s="629"/>
      <c r="BM322" s="629"/>
      <c r="BN322" s="629"/>
      <c r="BO322" s="629"/>
      <c r="BP322" s="629"/>
      <c r="BQ322" s="629"/>
      <c r="BR322" s="629"/>
      <c r="BS322" s="629"/>
      <c r="BT322" s="629"/>
      <c r="BU322" s="629"/>
      <c r="BV322" s="630"/>
      <c r="BW322" s="630"/>
      <c r="BX322" s="630"/>
      <c r="BY322" s="630"/>
      <c r="BZ322" s="630"/>
      <c r="CA322" s="630"/>
      <c r="CB322" s="630"/>
      <c r="CC322" s="630"/>
      <c r="CD322" s="630"/>
      <c r="CE322" s="630"/>
      <c r="CF322" s="1851"/>
    </row>
    <row customHeight="1" ht="24.75" hidden="1">
      <c r="A323" s="1809"/>
      <c r="B323" s="1164"/>
      <c r="C323" s="416"/>
      <c r="D323" s="2596"/>
      <c r="E323" s="2393" t="s">
        <v>755</v>
      </c>
      <c r="F323" s="2393"/>
      <c r="G323" s="2393"/>
      <c r="H323" s="2393"/>
      <c r="I323" s="2393"/>
      <c r="J323" s="2393"/>
      <c r="K323" s="2393"/>
      <c r="L323" s="2393"/>
      <c r="M323" s="2393"/>
      <c r="N323" s="2393"/>
      <c r="O323" s="2393"/>
      <c r="P323" s="2393"/>
      <c r="Q323" s="562">
        <f>SUMIF(T324:T325,"i",Q324:Q325)</f>
        <v>0</v>
      </c>
      <c r="R323" s="1021"/>
      <c r="S323" s="1801" t="s">
        <v>756</v>
      </c>
      <c r="T323" s="721" t="s">
        <v>757</v>
      </c>
      <c r="U323" s="2391">
        <v>1</v>
      </c>
      <c r="V323" s="2391" t="str">
        <f>INDEX(B_FHD_FLAG_INDEX_1,1,MATCH(A320,B_FHD_FLAG_DIFFERENTIATION,0))</f>
        <v>отсутствует</v>
      </c>
      <c r="W323" s="1164"/>
      <c r="X323" s="1164"/>
      <c r="Y323" s="1164"/>
      <c r="Z323" s="1164"/>
      <c r="AA323" s="1640"/>
      <c r="AB323" s="1164"/>
      <c r="AC323" s="2392"/>
      <c r="AD323" s="633"/>
      <c r="AE323" s="1164"/>
      <c r="AF323" s="1164"/>
      <c r="AG323" s="1640"/>
      <c r="AH323" s="1640"/>
      <c r="AI323" s="1640"/>
      <c r="AJ323" s="1640"/>
      <c r="AK323" s="1640"/>
      <c r="AL323" s="1640"/>
      <c r="AM323" s="1640"/>
      <c r="AN323" s="1640"/>
      <c r="AO323" s="1640"/>
      <c r="AP323" s="1640"/>
      <c r="AQ323" s="1640"/>
      <c r="AR323" s="1640"/>
      <c r="AS323" s="1640"/>
      <c r="AT323" s="1640"/>
      <c r="AU323" s="1640"/>
      <c r="AV323" s="1640"/>
      <c r="AW323" s="1640"/>
      <c r="AX323" s="1640"/>
      <c r="AY323" s="1640"/>
      <c r="AZ323" s="1640"/>
      <c r="BA323" s="1640"/>
      <c r="BB323" s="1640"/>
      <c r="BC323" s="1640"/>
      <c r="BD323" s="1640"/>
      <c r="BE323" s="1640"/>
      <c r="BF323" s="1640"/>
      <c r="BG323" s="1640"/>
      <c r="BH323" s="1640"/>
      <c r="BI323" s="1640"/>
      <c r="BJ323" s="1640"/>
      <c r="BK323" s="1640"/>
      <c r="BL323" s="1640"/>
      <c r="BM323" s="1640"/>
      <c r="BN323" s="1640"/>
      <c r="BO323" s="1640"/>
      <c r="BP323" s="1640"/>
      <c r="BQ323" s="1640"/>
      <c r="BR323" s="1640"/>
      <c r="BS323" s="1640"/>
      <c r="BT323" s="1640"/>
      <c r="BU323" s="1640"/>
      <c r="BV323" s="1164"/>
      <c r="BW323" s="1164"/>
      <c r="BX323" s="1164"/>
      <c r="BY323" s="1164"/>
      <c r="BZ323" s="1164"/>
      <c r="CA323" s="1164"/>
      <c r="CB323" s="1164"/>
      <c r="CC323" s="1164"/>
      <c r="CD323" s="1164"/>
      <c r="CE323" s="1164"/>
      <c r="CF323" s="1851"/>
    </row>
    <row customHeight="1" ht="11.25" hidden="1">
      <c r="A324" s="1796"/>
      <c r="B324" s="1640"/>
      <c r="C324" s="1640"/>
      <c r="D324" s="2596"/>
      <c r="E324" s="639"/>
      <c r="F324" s="639">
        <v>0</v>
      </c>
      <c r="G324" s="639"/>
      <c r="H324" s="639"/>
      <c r="I324" s="639"/>
      <c r="J324" s="639"/>
      <c r="K324" s="639"/>
      <c r="L324" s="639"/>
      <c r="M324" s="639"/>
      <c r="N324" s="639"/>
      <c r="O324" s="639"/>
      <c r="P324" s="639"/>
      <c r="Q324" s="639"/>
      <c r="R324" s="639"/>
      <c r="S324" s="640"/>
      <c r="T324" s="722"/>
      <c r="U324" s="2391"/>
      <c r="V324" s="2391"/>
      <c r="W324" s="1640"/>
      <c r="X324" s="1640"/>
      <c r="Y324" s="1640"/>
      <c r="Z324" s="1640"/>
      <c r="AA324" s="1640"/>
      <c r="AB324" s="1164"/>
      <c r="AC324" s="2392"/>
      <c r="AD324" s="633"/>
      <c r="AE324" s="1164"/>
      <c r="AF324" s="1164"/>
      <c r="AG324" s="1640"/>
      <c r="AH324" s="1640"/>
      <c r="AI324" s="1640"/>
      <c r="AJ324" s="1640"/>
      <c r="AK324" s="1640"/>
      <c r="AL324" s="1640"/>
      <c r="AM324" s="1640"/>
      <c r="AN324" s="1640"/>
      <c r="AO324" s="1640"/>
      <c r="AP324" s="1640"/>
      <c r="AQ324" s="1640"/>
      <c r="AR324" s="1640"/>
      <c r="AS324" s="1640"/>
      <c r="AT324" s="1640"/>
      <c r="AU324" s="1640"/>
      <c r="AV324" s="1640"/>
      <c r="AW324" s="1640"/>
      <c r="AX324" s="1640"/>
      <c r="AY324" s="1640"/>
      <c r="AZ324" s="1640"/>
      <c r="BA324" s="1640"/>
      <c r="BB324" s="1640"/>
      <c r="BC324" s="1640"/>
      <c r="BD324" s="1640"/>
      <c r="BE324" s="1640"/>
      <c r="BF324" s="1640"/>
      <c r="BG324" s="1640"/>
      <c r="BH324" s="1640"/>
      <c r="BI324" s="1640"/>
      <c r="BJ324" s="1640"/>
      <c r="BK324" s="1640"/>
      <c r="BL324" s="1640"/>
      <c r="BM324" s="1640"/>
      <c r="BN324" s="1640"/>
      <c r="BO324" s="1640"/>
      <c r="BP324" s="1640"/>
      <c r="BQ324" s="1640"/>
      <c r="BR324" s="1640"/>
      <c r="BS324" s="1640"/>
      <c r="BT324" s="1640"/>
      <c r="BU324" s="1640"/>
      <c r="BV324" s="1640"/>
      <c r="BW324" s="1640"/>
      <c r="BX324" s="1640"/>
      <c r="BY324" s="1640"/>
      <c r="BZ324" s="1640"/>
      <c r="CA324" s="1640"/>
      <c r="CB324" s="1640"/>
      <c r="CC324" s="1640"/>
      <c r="CD324" s="1640"/>
      <c r="CE324" s="1640"/>
      <c r="CF324" s="1851"/>
    </row>
    <row customHeight="1" ht="11.25" hidden="1">
      <c r="A325" s="1809"/>
      <c r="B325" s="1164"/>
      <c r="C325" s="416"/>
      <c r="D325" s="2596"/>
      <c r="E325" s="653" t="s">
        <v>22</v>
      </c>
      <c r="F325" s="1172" t="s">
        <v>22</v>
      </c>
      <c r="G325" s="1172" t="s">
        <v>760</v>
      </c>
      <c r="H325" s="655" t="s">
        <v>22</v>
      </c>
      <c r="I325" s="655"/>
      <c r="J325" s="655"/>
      <c r="K325" s="655"/>
      <c r="L325" s="655"/>
      <c r="M325" s="655"/>
      <c r="N325" s="655"/>
      <c r="O325" s="655"/>
      <c r="P325" s="655"/>
      <c r="Q325" s="655"/>
      <c r="R325" s="656"/>
      <c r="S325" s="657"/>
      <c r="T325" s="722"/>
      <c r="U325" s="2391"/>
      <c r="V325" s="2391"/>
      <c r="W325" s="1164"/>
      <c r="X325" s="1164"/>
      <c r="Y325" s="1164"/>
      <c r="Z325" s="1164"/>
      <c r="AA325" s="1640"/>
      <c r="AB325" s="1164"/>
      <c r="AC325" s="2392"/>
      <c r="AD325" s="633"/>
      <c r="AE325" s="1164"/>
      <c r="AF325" s="1164"/>
      <c r="AG325" s="1640"/>
      <c r="AH325" s="1640"/>
      <c r="AI325" s="1640"/>
      <c r="AJ325" s="1640"/>
      <c r="AK325" s="1640"/>
      <c r="AL325" s="1640"/>
      <c r="AM325" s="1640"/>
      <c r="AN325" s="1640"/>
      <c r="AO325" s="1640"/>
      <c r="AP325" s="1640"/>
      <c r="AQ325" s="1640"/>
      <c r="AR325" s="1640"/>
      <c r="AS325" s="1640"/>
      <c r="AT325" s="1640"/>
      <c r="AU325" s="1640"/>
      <c r="AV325" s="1640"/>
      <c r="AW325" s="1640"/>
      <c r="AX325" s="1640"/>
      <c r="AY325" s="1640"/>
      <c r="AZ325" s="1640"/>
      <c r="BA325" s="1640"/>
      <c r="BB325" s="1640"/>
      <c r="BC325" s="1640"/>
      <c r="BD325" s="1640"/>
      <c r="BE325" s="1640"/>
      <c r="BF325" s="1640"/>
      <c r="BG325" s="1640"/>
      <c r="BH325" s="1640"/>
      <c r="BI325" s="1640"/>
      <c r="BJ325" s="1640"/>
      <c r="BK325" s="1640"/>
      <c r="BL325" s="1640"/>
      <c r="BM325" s="1640"/>
      <c r="BN325" s="1640"/>
      <c r="BO325" s="1640"/>
      <c r="BP325" s="1640"/>
      <c r="BQ325" s="1640"/>
      <c r="BR325" s="1640"/>
      <c r="BS325" s="1640"/>
      <c r="BT325" s="1640"/>
      <c r="BU325" s="1640"/>
      <c r="BV325" s="1164"/>
      <c r="BW325" s="1164"/>
      <c r="BX325" s="1164"/>
      <c r="BY325" s="1164"/>
      <c r="BZ325" s="1164"/>
      <c r="CA325" s="1164"/>
      <c r="CB325" s="1164"/>
      <c r="CC325" s="1164"/>
      <c r="CD325" s="1164"/>
      <c r="CE325" s="1164"/>
      <c r="CF325" s="1851"/>
    </row>
    <row customHeight="1" ht="24.75" hidden="1">
      <c r="A326" s="1809"/>
      <c r="B326" s="1164"/>
      <c r="C326" s="416"/>
      <c r="D326" s="2596"/>
      <c r="E326" s="2393" t="s">
        <v>758</v>
      </c>
      <c r="F326" s="2393"/>
      <c r="G326" s="2393"/>
      <c r="H326" s="2393"/>
      <c r="I326" s="2393"/>
      <c r="J326" s="2393"/>
      <c r="K326" s="2393"/>
      <c r="L326" s="2393"/>
      <c r="M326" s="2393"/>
      <c r="N326" s="2393"/>
      <c r="O326" s="2393"/>
      <c r="P326" s="2393"/>
      <c r="Q326" s="562">
        <f>SUMIF(T327:T328,"i",Q327:Q328)</f>
        <v>0</v>
      </c>
      <c r="R326" s="1021"/>
      <c r="S326" s="1801" t="s">
        <v>759</v>
      </c>
      <c r="T326" s="721" t="s">
        <v>757</v>
      </c>
      <c r="U326" s="2391">
        <v>1</v>
      </c>
      <c r="V326" s="2391" t="str">
        <f>INDEX(B_FHD_FLAG_INDEX_2,1,MATCH(A320,B_FHD_FLAG_DIFFERENTIATION,0))</f>
        <v>отсутствует</v>
      </c>
      <c r="W326" s="1164"/>
      <c r="X326" s="1164"/>
      <c r="Y326" s="1164"/>
      <c r="Z326" s="1164"/>
      <c r="AA326" s="1640"/>
      <c r="AB326" s="1164"/>
      <c r="AC326" s="1799"/>
      <c r="AD326" s="633"/>
      <c r="AE326" s="1164"/>
      <c r="AF326" s="1164"/>
      <c r="AG326" s="1640"/>
      <c r="AH326" s="1640"/>
      <c r="AI326" s="1640"/>
      <c r="AJ326" s="1640"/>
      <c r="AK326" s="1640"/>
      <c r="AL326" s="1640"/>
      <c r="AM326" s="1640"/>
      <c r="AN326" s="1640"/>
      <c r="AO326" s="1640"/>
      <c r="AP326" s="1640"/>
      <c r="AQ326" s="1640"/>
      <c r="AR326" s="1640"/>
      <c r="AS326" s="1640"/>
      <c r="AT326" s="1640"/>
      <c r="AU326" s="1640"/>
      <c r="AV326" s="1640"/>
      <c r="AW326" s="1640"/>
      <c r="AX326" s="1640"/>
      <c r="AY326" s="1640"/>
      <c r="AZ326" s="1640"/>
      <c r="BA326" s="1640"/>
      <c r="BB326" s="1640"/>
      <c r="BC326" s="1640"/>
      <c r="BD326" s="1640"/>
      <c r="BE326" s="1640"/>
      <c r="BF326" s="1640"/>
      <c r="BG326" s="1640"/>
      <c r="BH326" s="1640"/>
      <c r="BI326" s="1640"/>
      <c r="BJ326" s="1640"/>
      <c r="BK326" s="1640"/>
      <c r="BL326" s="1640"/>
      <c r="BM326" s="1640"/>
      <c r="BN326" s="1640"/>
      <c r="BO326" s="1640"/>
      <c r="BP326" s="1640"/>
      <c r="BQ326" s="1640"/>
      <c r="BR326" s="1640"/>
      <c r="BS326" s="1640"/>
      <c r="BT326" s="1640"/>
      <c r="BU326" s="1640"/>
      <c r="BV326" s="1164"/>
      <c r="BW326" s="1164"/>
      <c r="BX326" s="1164"/>
      <c r="BY326" s="1164"/>
      <c r="BZ326" s="1164"/>
      <c r="CA326" s="1164"/>
      <c r="CB326" s="1164"/>
      <c r="CC326" s="1164"/>
      <c r="CD326" s="1164"/>
      <c r="CE326" s="1164"/>
      <c r="CF326" s="1851"/>
    </row>
    <row customHeight="1" ht="11.25" hidden="1">
      <c r="A327" s="1796"/>
      <c r="B327" s="1640"/>
      <c r="C327" s="1640"/>
      <c r="D327" s="2596"/>
      <c r="E327" s="639"/>
      <c r="F327" s="639">
        <v>0</v>
      </c>
      <c r="G327" s="639"/>
      <c r="H327" s="639"/>
      <c r="I327" s="639"/>
      <c r="J327" s="639"/>
      <c r="K327" s="639"/>
      <c r="L327" s="639"/>
      <c r="M327" s="639"/>
      <c r="N327" s="639"/>
      <c r="O327" s="639"/>
      <c r="P327" s="639"/>
      <c r="Q327" s="639"/>
      <c r="R327" s="639"/>
      <c r="S327" s="640"/>
      <c r="T327" s="722"/>
      <c r="U327" s="2391"/>
      <c r="V327" s="2391"/>
      <c r="W327" s="1640"/>
      <c r="X327" s="1640"/>
      <c r="Y327" s="1640"/>
      <c r="Z327" s="1640"/>
      <c r="AA327" s="1640"/>
      <c r="AB327" s="1164"/>
      <c r="AC327" s="1799"/>
      <c r="AD327" s="633"/>
      <c r="AE327" s="1164"/>
      <c r="AF327" s="1164"/>
      <c r="AG327" s="1640"/>
      <c r="AH327" s="1640"/>
      <c r="AI327" s="1640"/>
      <c r="AJ327" s="1640"/>
      <c r="AK327" s="1640"/>
      <c r="AL327" s="1640"/>
      <c r="AM327" s="1640"/>
      <c r="AN327" s="1640"/>
      <c r="AO327" s="1640"/>
      <c r="AP327" s="1640"/>
      <c r="AQ327" s="1640"/>
      <c r="AR327" s="1640"/>
      <c r="AS327" s="1640"/>
      <c r="AT327" s="1640"/>
      <c r="AU327" s="1640"/>
      <c r="AV327" s="1640"/>
      <c r="AW327" s="1640"/>
      <c r="AX327" s="1640"/>
      <c r="AY327" s="1640"/>
      <c r="AZ327" s="1640"/>
      <c r="BA327" s="1640"/>
      <c r="BB327" s="1640"/>
      <c r="BC327" s="1640"/>
      <c r="BD327" s="1640"/>
      <c r="BE327" s="1640"/>
      <c r="BF327" s="1640"/>
      <c r="BG327" s="1640"/>
      <c r="BH327" s="1640"/>
      <c r="BI327" s="1640"/>
      <c r="BJ327" s="1640"/>
      <c r="BK327" s="1640"/>
      <c r="BL327" s="1640"/>
      <c r="BM327" s="1640"/>
      <c r="BN327" s="1640"/>
      <c r="BO327" s="1640"/>
      <c r="BP327" s="1640"/>
      <c r="BQ327" s="1640"/>
      <c r="BR327" s="1640"/>
      <c r="BS327" s="1640"/>
      <c r="BT327" s="1640"/>
      <c r="BU327" s="1640"/>
      <c r="BV327" s="1640"/>
      <c r="BW327" s="1640"/>
      <c r="BX327" s="1640"/>
      <c r="BY327" s="1640"/>
      <c r="BZ327" s="1640"/>
      <c r="CA327" s="1640"/>
      <c r="CB327" s="1640"/>
      <c r="CC327" s="1640"/>
      <c r="CD327" s="1640"/>
      <c r="CE327" s="1640"/>
      <c r="CF327" s="1851"/>
    </row>
    <row customHeight="1" ht="11.25" hidden="1">
      <c r="A328" s="1809"/>
      <c r="B328" s="1164"/>
      <c r="C328" s="416"/>
      <c r="D328" s="2597"/>
      <c r="E328" s="653" t="s">
        <v>22</v>
      </c>
      <c r="F328" s="1172" t="s">
        <v>22</v>
      </c>
      <c r="G328" s="1172" t="s">
        <v>760</v>
      </c>
      <c r="H328" s="655" t="s">
        <v>22</v>
      </c>
      <c r="I328" s="655"/>
      <c r="J328" s="655"/>
      <c r="K328" s="655"/>
      <c r="L328" s="655"/>
      <c r="M328" s="655"/>
      <c r="N328" s="655"/>
      <c r="O328" s="655"/>
      <c r="P328" s="655"/>
      <c r="Q328" s="655"/>
      <c r="R328" s="656"/>
      <c r="S328" s="657"/>
      <c r="T328" s="722"/>
      <c r="U328" s="2391"/>
      <c r="V328" s="2391"/>
      <c r="W328" s="1164"/>
      <c r="X328" s="1164"/>
      <c r="Y328" s="1164"/>
      <c r="Z328" s="1164"/>
      <c r="AA328" s="1640"/>
      <c r="AB328" s="1164"/>
      <c r="AC328" s="1799"/>
      <c r="AD328" s="633"/>
      <c r="AE328" s="1164"/>
      <c r="AF328" s="1164"/>
      <c r="AG328" s="1640"/>
      <c r="AH328" s="1640"/>
      <c r="AI328" s="1640"/>
      <c r="AJ328" s="1640"/>
      <c r="AK328" s="1640"/>
      <c r="AL328" s="1640"/>
      <c r="AM328" s="1640"/>
      <c r="AN328" s="1640"/>
      <c r="AO328" s="1640"/>
      <c r="AP328" s="1640"/>
      <c r="AQ328" s="1640"/>
      <c r="AR328" s="1640"/>
      <c r="AS328" s="1640"/>
      <c r="AT328" s="1640"/>
      <c r="AU328" s="1640"/>
      <c r="AV328" s="1640"/>
      <c r="AW328" s="1640"/>
      <c r="AX328" s="1640"/>
      <c r="AY328" s="1640"/>
      <c r="AZ328" s="1640"/>
      <c r="BA328" s="1640"/>
      <c r="BB328" s="1640"/>
      <c r="BC328" s="1640"/>
      <c r="BD328" s="1640"/>
      <c r="BE328" s="1640"/>
      <c r="BF328" s="1640"/>
      <c r="BG328" s="1640"/>
      <c r="BH328" s="1640"/>
      <c r="BI328" s="1640"/>
      <c r="BJ328" s="1640"/>
      <c r="BK328" s="1640"/>
      <c r="BL328" s="1640"/>
      <c r="BM328" s="1640"/>
      <c r="BN328" s="1640"/>
      <c r="BO328" s="1640"/>
      <c r="BP328" s="1640"/>
      <c r="BQ328" s="1640"/>
      <c r="BR328" s="1640"/>
      <c r="BS328" s="1640"/>
      <c r="BT328" s="1640"/>
      <c r="BU328" s="1640"/>
      <c r="BV328" s="1164"/>
      <c r="BW328" s="1164"/>
      <c r="BX328" s="1164"/>
      <c r="BY328" s="1164"/>
      <c r="BZ328" s="1164"/>
      <c r="CA328" s="1164"/>
      <c r="CB328" s="1164"/>
      <c r="CC328" s="1164"/>
      <c r="CD328" s="1164"/>
      <c r="CE328" s="1164"/>
      <c r="CF328" s="1851"/>
    </row>
    <row customHeight="1" ht="15" hidden="1">
      <c r="A329" s="627" t="s">
        <v>258</v>
      </c>
      <c r="B329" s="628"/>
      <c r="C329" s="628" t="s">
        <v>22</v>
      </c>
      <c r="D329" s="2595" t="s">
        <v>794</v>
      </c>
      <c r="E329" s="2394" t="s">
        <v>173</v>
      </c>
      <c r="F329" s="2395"/>
      <c r="G329" s="2396"/>
      <c r="H329" s="2400" t="str">
        <f>IF(A329="","",INDEX(DIFFERENTIATION_UNMERGE_VD,MATCH(A329,DIFFERENTIATION_ID_DIFF,0)))</f>
        <v>Холодное водоснабжение. Подвозная вода</v>
      </c>
      <c r="I329" s="2400"/>
      <c r="J329" s="2400"/>
      <c r="K329" s="2400"/>
      <c r="L329" s="2400"/>
      <c r="M329" s="2400"/>
      <c r="N329" s="2400"/>
      <c r="O329" s="2400"/>
      <c r="P329" s="2400"/>
      <c r="Q329" s="2400"/>
      <c r="R329" s="2400"/>
      <c r="S329" s="723"/>
      <c r="T329" s="720"/>
      <c r="U329" s="629"/>
      <c r="V329" s="629"/>
      <c r="W329" s="630"/>
      <c r="X329" s="630"/>
      <c r="Y329" s="630"/>
      <c r="Z329" s="630"/>
      <c r="AA329" s="631"/>
      <c r="AB329" s="632"/>
      <c r="AC329" s="2392"/>
      <c r="AD329" s="633"/>
      <c r="AE329" s="634" t="s">
        <v>22</v>
      </c>
      <c r="AF329" s="634"/>
      <c r="AG329" s="635" t="s">
        <v>754</v>
      </c>
      <c r="AH329" s="636">
        <v>3</v>
      </c>
      <c r="AI329" s="629"/>
      <c r="AJ329" s="629"/>
      <c r="AK329" s="629"/>
      <c r="AL329" s="629"/>
      <c r="AM329" s="629"/>
      <c r="AN329" s="629"/>
      <c r="AO329" s="629"/>
      <c r="AP329" s="629"/>
      <c r="AQ329" s="629"/>
      <c r="AR329" s="629"/>
      <c r="AS329" s="629"/>
      <c r="AT329" s="629"/>
      <c r="AU329" s="629"/>
      <c r="AV329" s="629"/>
      <c r="AW329" s="629"/>
      <c r="AX329" s="629"/>
      <c r="AY329" s="629"/>
      <c r="AZ329" s="629"/>
      <c r="BA329" s="629"/>
      <c r="BB329" s="629"/>
      <c r="BC329" s="629"/>
      <c r="BD329" s="629"/>
      <c r="BE329" s="629"/>
      <c r="BF329" s="629"/>
      <c r="BG329" s="629"/>
      <c r="BH329" s="629"/>
      <c r="BI329" s="629"/>
      <c r="BJ329" s="629"/>
      <c r="BK329" s="629"/>
      <c r="BL329" s="629"/>
      <c r="BM329" s="629"/>
      <c r="BN329" s="629"/>
      <c r="BO329" s="629"/>
      <c r="BP329" s="629"/>
      <c r="BQ329" s="629"/>
      <c r="BR329" s="629"/>
      <c r="BS329" s="629"/>
      <c r="BT329" s="629"/>
      <c r="BU329" s="629"/>
      <c r="BV329" s="630"/>
      <c r="BW329" s="630"/>
      <c r="BX329" s="630"/>
      <c r="BY329" s="630"/>
      <c r="BZ329" s="630"/>
      <c r="CA329" s="630"/>
      <c r="CB329" s="630"/>
      <c r="CC329" s="630"/>
      <c r="CD329" s="630"/>
      <c r="CE329" s="630"/>
      <c r="CF329" s="1851"/>
    </row>
    <row customHeight="1" ht="15" hidden="1">
      <c r="A330" s="627"/>
      <c r="B330" s="628"/>
      <c r="C330" s="628"/>
      <c r="D330" s="2596"/>
      <c r="E330" s="2394" t="s">
        <v>702</v>
      </c>
      <c r="F330" s="2395"/>
      <c r="G330" s="2396"/>
      <c r="H330" s="2400" t="str">
        <f>IF(A329="","",INDEX(DIFFERENTIATION_UNMERGE_AREA,MATCH(A329,DIFFERENTIATION_ID_DIFF,0)))</f>
        <v>Территория 5</v>
      </c>
      <c r="I330" s="2400"/>
      <c r="J330" s="2400"/>
      <c r="K330" s="2400"/>
      <c r="L330" s="2400"/>
      <c r="M330" s="2400"/>
      <c r="N330" s="2400"/>
      <c r="O330" s="2400"/>
      <c r="P330" s="2400"/>
      <c r="Q330" s="2400"/>
      <c r="R330" s="2400"/>
      <c r="S330" s="723"/>
      <c r="T330" s="720"/>
      <c r="U330" s="629"/>
      <c r="V330" s="629"/>
      <c r="W330" s="630"/>
      <c r="X330" s="630"/>
      <c r="Y330" s="630"/>
      <c r="Z330" s="630"/>
      <c r="AA330" s="631"/>
      <c r="AB330" s="632"/>
      <c r="AC330" s="2392"/>
      <c r="AD330" s="633"/>
      <c r="AE330" s="634"/>
      <c r="AF330" s="634"/>
      <c r="AG330" s="635"/>
      <c r="AH330" s="636"/>
      <c r="AI330" s="629"/>
      <c r="AJ330" s="629"/>
      <c r="AK330" s="629"/>
      <c r="AL330" s="629"/>
      <c r="AM330" s="629"/>
      <c r="AN330" s="629"/>
      <c r="AO330" s="629"/>
      <c r="AP330" s="629"/>
      <c r="AQ330" s="629"/>
      <c r="AR330" s="629"/>
      <c r="AS330" s="629"/>
      <c r="AT330" s="629"/>
      <c r="AU330" s="629"/>
      <c r="AV330" s="629"/>
      <c r="AW330" s="629"/>
      <c r="AX330" s="629"/>
      <c r="AY330" s="629"/>
      <c r="AZ330" s="629"/>
      <c r="BA330" s="629"/>
      <c r="BB330" s="629"/>
      <c r="BC330" s="629"/>
      <c r="BD330" s="629"/>
      <c r="BE330" s="629"/>
      <c r="BF330" s="629"/>
      <c r="BG330" s="629"/>
      <c r="BH330" s="629"/>
      <c r="BI330" s="629"/>
      <c r="BJ330" s="629"/>
      <c r="BK330" s="629"/>
      <c r="BL330" s="629"/>
      <c r="BM330" s="629"/>
      <c r="BN330" s="629"/>
      <c r="BO330" s="629"/>
      <c r="BP330" s="629"/>
      <c r="BQ330" s="629"/>
      <c r="BR330" s="629"/>
      <c r="BS330" s="629"/>
      <c r="BT330" s="629"/>
      <c r="BU330" s="629"/>
      <c r="BV330" s="630"/>
      <c r="BW330" s="630"/>
      <c r="BX330" s="630"/>
      <c r="BY330" s="630"/>
      <c r="BZ330" s="630"/>
      <c r="CA330" s="630"/>
      <c r="CB330" s="630"/>
      <c r="CC330" s="630"/>
      <c r="CD330" s="630"/>
      <c r="CE330" s="630"/>
      <c r="CF330" s="1851"/>
    </row>
    <row customHeight="1" ht="15" hidden="1">
      <c r="A331" s="627"/>
      <c r="B331" s="628"/>
      <c r="C331" s="628"/>
      <c r="D331" s="2596"/>
      <c r="E331" s="2394" t="s">
        <v>703</v>
      </c>
      <c r="F331" s="2395"/>
      <c r="G331" s="2396"/>
      <c r="H331" s="2400" t="str">
        <f>IF(A329="","",INDEX(DIFFERENTIATION_UNMERGE_SYSTEM,MATCH(A329,DIFFERENTIATION_ID_DIFF,0)))</f>
        <v> Михайловский муниципальный район, Новошахтинское городское поселение (05620154)</v>
      </c>
      <c r="I331" s="2400"/>
      <c r="J331" s="2400"/>
      <c r="K331" s="2400"/>
      <c r="L331" s="2400"/>
      <c r="M331" s="2400"/>
      <c r="N331" s="2400"/>
      <c r="O331" s="2400"/>
      <c r="P331" s="2400"/>
      <c r="Q331" s="2400"/>
      <c r="R331" s="2400"/>
      <c r="S331" s="723"/>
      <c r="T331" s="720"/>
      <c r="U331" s="629"/>
      <c r="V331" s="629"/>
      <c r="W331" s="630"/>
      <c r="X331" s="630"/>
      <c r="Y331" s="630"/>
      <c r="Z331" s="630"/>
      <c r="AA331" s="631"/>
      <c r="AB331" s="632"/>
      <c r="AC331" s="2392"/>
      <c r="AD331" s="633"/>
      <c r="AE331" s="634"/>
      <c r="AF331" s="634"/>
      <c r="AG331" s="635"/>
      <c r="AH331" s="636"/>
      <c r="AI331" s="629"/>
      <c r="AJ331" s="629"/>
      <c r="AK331" s="629"/>
      <c r="AL331" s="629"/>
      <c r="AM331" s="629"/>
      <c r="AN331" s="629"/>
      <c r="AO331" s="629"/>
      <c r="AP331" s="629"/>
      <c r="AQ331" s="629"/>
      <c r="AR331" s="629"/>
      <c r="AS331" s="629"/>
      <c r="AT331" s="629"/>
      <c r="AU331" s="629"/>
      <c r="AV331" s="629"/>
      <c r="AW331" s="629"/>
      <c r="AX331" s="629"/>
      <c r="AY331" s="629"/>
      <c r="AZ331" s="629"/>
      <c r="BA331" s="629"/>
      <c r="BB331" s="629"/>
      <c r="BC331" s="629"/>
      <c r="BD331" s="629"/>
      <c r="BE331" s="629"/>
      <c r="BF331" s="629"/>
      <c r="BG331" s="629"/>
      <c r="BH331" s="629"/>
      <c r="BI331" s="629"/>
      <c r="BJ331" s="629"/>
      <c r="BK331" s="629"/>
      <c r="BL331" s="629"/>
      <c r="BM331" s="629"/>
      <c r="BN331" s="629"/>
      <c r="BO331" s="629"/>
      <c r="BP331" s="629"/>
      <c r="BQ331" s="629"/>
      <c r="BR331" s="629"/>
      <c r="BS331" s="629"/>
      <c r="BT331" s="629"/>
      <c r="BU331" s="629"/>
      <c r="BV331" s="630"/>
      <c r="BW331" s="630"/>
      <c r="BX331" s="630"/>
      <c r="BY331" s="630"/>
      <c r="BZ331" s="630"/>
      <c r="CA331" s="630"/>
      <c r="CB331" s="630"/>
      <c r="CC331" s="630"/>
      <c r="CD331" s="630"/>
      <c r="CE331" s="630"/>
      <c r="CF331" s="1851"/>
    </row>
    <row customHeight="1" ht="24.75" hidden="1">
      <c r="A332" s="1809"/>
      <c r="B332" s="1164"/>
      <c r="C332" s="416"/>
      <c r="D332" s="2596"/>
      <c r="E332" s="2393" t="s">
        <v>755</v>
      </c>
      <c r="F332" s="2393"/>
      <c r="G332" s="2393"/>
      <c r="H332" s="2393"/>
      <c r="I332" s="2393"/>
      <c r="J332" s="2393"/>
      <c r="K332" s="2393"/>
      <c r="L332" s="2393"/>
      <c r="M332" s="2393"/>
      <c r="N332" s="2393"/>
      <c r="O332" s="2393"/>
      <c r="P332" s="2393"/>
      <c r="Q332" s="562">
        <f>SUMIF(T333:T334,"i",Q333:Q334)</f>
        <v>0</v>
      </c>
      <c r="R332" s="1021"/>
      <c r="S332" s="1801" t="s">
        <v>756</v>
      </c>
      <c r="T332" s="721" t="s">
        <v>757</v>
      </c>
      <c r="U332" s="2391">
        <v>1</v>
      </c>
      <c r="V332" s="2391" t="str">
        <f>INDEX(B_FHD_FLAG_INDEX_1,1,MATCH(A329,B_FHD_FLAG_DIFFERENTIATION,0))</f>
        <v>отсутствует</v>
      </c>
      <c r="W332" s="1164"/>
      <c r="X332" s="1164"/>
      <c r="Y332" s="1164"/>
      <c r="Z332" s="1164"/>
      <c r="AA332" s="1640"/>
      <c r="AB332" s="1164"/>
      <c r="AC332" s="2392"/>
      <c r="AD332" s="633"/>
      <c r="AE332" s="1164"/>
      <c r="AF332" s="1164"/>
      <c r="AG332" s="1640"/>
      <c r="AH332" s="1640"/>
      <c r="AI332" s="1640"/>
      <c r="AJ332" s="1640"/>
      <c r="AK332" s="1640"/>
      <c r="AL332" s="1640"/>
      <c r="AM332" s="1640"/>
      <c r="AN332" s="1640"/>
      <c r="AO332" s="1640"/>
      <c r="AP332" s="1640"/>
      <c r="AQ332" s="1640"/>
      <c r="AR332" s="1640"/>
      <c r="AS332" s="1640"/>
      <c r="AT332" s="1640"/>
      <c r="AU332" s="1640"/>
      <c r="AV332" s="1640"/>
      <c r="AW332" s="1640"/>
      <c r="AX332" s="1640"/>
      <c r="AY332" s="1640"/>
      <c r="AZ332" s="1640"/>
      <c r="BA332" s="1640"/>
      <c r="BB332" s="1640"/>
      <c r="BC332" s="1640"/>
      <c r="BD332" s="1640"/>
      <c r="BE332" s="1640"/>
      <c r="BF332" s="1640"/>
      <c r="BG332" s="1640"/>
      <c r="BH332" s="1640"/>
      <c r="BI332" s="1640"/>
      <c r="BJ332" s="1640"/>
      <c r="BK332" s="1640"/>
      <c r="BL332" s="1640"/>
      <c r="BM332" s="1640"/>
      <c r="BN332" s="1640"/>
      <c r="BO332" s="1640"/>
      <c r="BP332" s="1640"/>
      <c r="BQ332" s="1640"/>
      <c r="BR332" s="1640"/>
      <c r="BS332" s="1640"/>
      <c r="BT332" s="1640"/>
      <c r="BU332" s="1640"/>
      <c r="BV332" s="1164"/>
      <c r="BW332" s="1164"/>
      <c r="BX332" s="1164"/>
      <c r="BY332" s="1164"/>
      <c r="BZ332" s="1164"/>
      <c r="CA332" s="1164"/>
      <c r="CB332" s="1164"/>
      <c r="CC332" s="1164"/>
      <c r="CD332" s="1164"/>
      <c r="CE332" s="1164"/>
      <c r="CF332" s="1851"/>
    </row>
    <row customHeight="1" ht="11.25" hidden="1">
      <c r="A333" s="1796"/>
      <c r="B333" s="1640"/>
      <c r="C333" s="1640"/>
      <c r="D333" s="2596"/>
      <c r="E333" s="639"/>
      <c r="F333" s="639">
        <v>0</v>
      </c>
      <c r="G333" s="639"/>
      <c r="H333" s="639"/>
      <c r="I333" s="639"/>
      <c r="J333" s="639"/>
      <c r="K333" s="639"/>
      <c r="L333" s="639"/>
      <c r="M333" s="639"/>
      <c r="N333" s="639"/>
      <c r="O333" s="639"/>
      <c r="P333" s="639"/>
      <c r="Q333" s="639"/>
      <c r="R333" s="639"/>
      <c r="S333" s="640"/>
      <c r="T333" s="722"/>
      <c r="U333" s="2391"/>
      <c r="V333" s="2391"/>
      <c r="W333" s="1640"/>
      <c r="X333" s="1640"/>
      <c r="Y333" s="1640"/>
      <c r="Z333" s="1640"/>
      <c r="AA333" s="1640"/>
      <c r="AB333" s="1164"/>
      <c r="AC333" s="2392"/>
      <c r="AD333" s="633"/>
      <c r="AE333" s="1164"/>
      <c r="AF333" s="1164"/>
      <c r="AG333" s="1640"/>
      <c r="AH333" s="1640"/>
      <c r="AI333" s="1640"/>
      <c r="AJ333" s="1640"/>
      <c r="AK333" s="1640"/>
      <c r="AL333" s="1640"/>
      <c r="AM333" s="1640"/>
      <c r="AN333" s="1640"/>
      <c r="AO333" s="1640"/>
      <c r="AP333" s="1640"/>
      <c r="AQ333" s="1640"/>
      <c r="AR333" s="1640"/>
      <c r="AS333" s="1640"/>
      <c r="AT333" s="1640"/>
      <c r="AU333" s="1640"/>
      <c r="AV333" s="1640"/>
      <c r="AW333" s="1640"/>
      <c r="AX333" s="1640"/>
      <c r="AY333" s="1640"/>
      <c r="AZ333" s="1640"/>
      <c r="BA333" s="1640"/>
      <c r="BB333" s="1640"/>
      <c r="BC333" s="1640"/>
      <c r="BD333" s="1640"/>
      <c r="BE333" s="1640"/>
      <c r="BF333" s="1640"/>
      <c r="BG333" s="1640"/>
      <c r="BH333" s="1640"/>
      <c r="BI333" s="1640"/>
      <c r="BJ333" s="1640"/>
      <c r="BK333" s="1640"/>
      <c r="BL333" s="1640"/>
      <c r="BM333" s="1640"/>
      <c r="BN333" s="1640"/>
      <c r="BO333" s="1640"/>
      <c r="BP333" s="1640"/>
      <c r="BQ333" s="1640"/>
      <c r="BR333" s="1640"/>
      <c r="BS333" s="1640"/>
      <c r="BT333" s="1640"/>
      <c r="BU333" s="1640"/>
      <c r="BV333" s="1640"/>
      <c r="BW333" s="1640"/>
      <c r="BX333" s="1640"/>
      <c r="BY333" s="1640"/>
      <c r="BZ333" s="1640"/>
      <c r="CA333" s="1640"/>
      <c r="CB333" s="1640"/>
      <c r="CC333" s="1640"/>
      <c r="CD333" s="1640"/>
      <c r="CE333" s="1640"/>
      <c r="CF333" s="1851"/>
    </row>
    <row customHeight="1" ht="11.25" hidden="1">
      <c r="A334" s="1809"/>
      <c r="B334" s="1164"/>
      <c r="C334" s="416"/>
      <c r="D334" s="2596"/>
      <c r="E334" s="653" t="s">
        <v>22</v>
      </c>
      <c r="F334" s="1172" t="s">
        <v>22</v>
      </c>
      <c r="G334" s="1172" t="s">
        <v>760</v>
      </c>
      <c r="H334" s="655" t="s">
        <v>22</v>
      </c>
      <c r="I334" s="655"/>
      <c r="J334" s="655"/>
      <c r="K334" s="655"/>
      <c r="L334" s="655"/>
      <c r="M334" s="655"/>
      <c r="N334" s="655"/>
      <c r="O334" s="655"/>
      <c r="P334" s="655"/>
      <c r="Q334" s="655"/>
      <c r="R334" s="656"/>
      <c r="S334" s="657"/>
      <c r="T334" s="722"/>
      <c r="U334" s="2391"/>
      <c r="V334" s="2391"/>
      <c r="W334" s="1164"/>
      <c r="X334" s="1164"/>
      <c r="Y334" s="1164"/>
      <c r="Z334" s="1164"/>
      <c r="AA334" s="1640"/>
      <c r="AB334" s="1164"/>
      <c r="AC334" s="2392"/>
      <c r="AD334" s="633"/>
      <c r="AE334" s="1164"/>
      <c r="AF334" s="1164"/>
      <c r="AG334" s="1640"/>
      <c r="AH334" s="1640"/>
      <c r="AI334" s="1640"/>
      <c r="AJ334" s="1640"/>
      <c r="AK334" s="1640"/>
      <c r="AL334" s="1640"/>
      <c r="AM334" s="1640"/>
      <c r="AN334" s="1640"/>
      <c r="AO334" s="1640"/>
      <c r="AP334" s="1640"/>
      <c r="AQ334" s="1640"/>
      <c r="AR334" s="1640"/>
      <c r="AS334" s="1640"/>
      <c r="AT334" s="1640"/>
      <c r="AU334" s="1640"/>
      <c r="AV334" s="1640"/>
      <c r="AW334" s="1640"/>
      <c r="AX334" s="1640"/>
      <c r="AY334" s="1640"/>
      <c r="AZ334" s="1640"/>
      <c r="BA334" s="1640"/>
      <c r="BB334" s="1640"/>
      <c r="BC334" s="1640"/>
      <c r="BD334" s="1640"/>
      <c r="BE334" s="1640"/>
      <c r="BF334" s="1640"/>
      <c r="BG334" s="1640"/>
      <c r="BH334" s="1640"/>
      <c r="BI334" s="1640"/>
      <c r="BJ334" s="1640"/>
      <c r="BK334" s="1640"/>
      <c r="BL334" s="1640"/>
      <c r="BM334" s="1640"/>
      <c r="BN334" s="1640"/>
      <c r="BO334" s="1640"/>
      <c r="BP334" s="1640"/>
      <c r="BQ334" s="1640"/>
      <c r="BR334" s="1640"/>
      <c r="BS334" s="1640"/>
      <c r="BT334" s="1640"/>
      <c r="BU334" s="1640"/>
      <c r="BV334" s="1164"/>
      <c r="BW334" s="1164"/>
      <c r="BX334" s="1164"/>
      <c r="BY334" s="1164"/>
      <c r="BZ334" s="1164"/>
      <c r="CA334" s="1164"/>
      <c r="CB334" s="1164"/>
      <c r="CC334" s="1164"/>
      <c r="CD334" s="1164"/>
      <c r="CE334" s="1164"/>
      <c r="CF334" s="1851"/>
    </row>
    <row customHeight="1" ht="24.75" hidden="1">
      <c r="A335" s="1809"/>
      <c r="B335" s="1164"/>
      <c r="C335" s="416"/>
      <c r="D335" s="2596"/>
      <c r="E335" s="2393" t="s">
        <v>758</v>
      </c>
      <c r="F335" s="2393"/>
      <c r="G335" s="2393"/>
      <c r="H335" s="2393"/>
      <c r="I335" s="2393"/>
      <c r="J335" s="2393"/>
      <c r="K335" s="2393"/>
      <c r="L335" s="2393"/>
      <c r="M335" s="2393"/>
      <c r="N335" s="2393"/>
      <c r="O335" s="2393"/>
      <c r="P335" s="2393"/>
      <c r="Q335" s="562">
        <f>SUMIF(T336:T337,"i",Q336:Q337)</f>
        <v>0</v>
      </c>
      <c r="R335" s="1021"/>
      <c r="S335" s="1801" t="s">
        <v>759</v>
      </c>
      <c r="T335" s="721" t="s">
        <v>757</v>
      </c>
      <c r="U335" s="2391">
        <v>1</v>
      </c>
      <c r="V335" s="2391" t="str">
        <f>INDEX(B_FHD_FLAG_INDEX_2,1,MATCH(A329,B_FHD_FLAG_DIFFERENTIATION,0))</f>
        <v>отсутствует</v>
      </c>
      <c r="W335" s="1164"/>
      <c r="X335" s="1164"/>
      <c r="Y335" s="1164"/>
      <c r="Z335" s="1164"/>
      <c r="AA335" s="1640"/>
      <c r="AB335" s="1164"/>
      <c r="AC335" s="1799"/>
      <c r="AD335" s="633"/>
      <c r="AE335" s="1164"/>
      <c r="AF335" s="1164"/>
      <c r="AG335" s="1640"/>
      <c r="AH335" s="1640"/>
      <c r="AI335" s="1640"/>
      <c r="AJ335" s="1640"/>
      <c r="AK335" s="1640"/>
      <c r="AL335" s="1640"/>
      <c r="AM335" s="1640"/>
      <c r="AN335" s="1640"/>
      <c r="AO335" s="1640"/>
      <c r="AP335" s="1640"/>
      <c r="AQ335" s="1640"/>
      <c r="AR335" s="1640"/>
      <c r="AS335" s="1640"/>
      <c r="AT335" s="1640"/>
      <c r="AU335" s="1640"/>
      <c r="AV335" s="1640"/>
      <c r="AW335" s="1640"/>
      <c r="AX335" s="1640"/>
      <c r="AY335" s="1640"/>
      <c r="AZ335" s="1640"/>
      <c r="BA335" s="1640"/>
      <c r="BB335" s="1640"/>
      <c r="BC335" s="1640"/>
      <c r="BD335" s="1640"/>
      <c r="BE335" s="1640"/>
      <c r="BF335" s="1640"/>
      <c r="BG335" s="1640"/>
      <c r="BH335" s="1640"/>
      <c r="BI335" s="1640"/>
      <c r="BJ335" s="1640"/>
      <c r="BK335" s="1640"/>
      <c r="BL335" s="1640"/>
      <c r="BM335" s="1640"/>
      <c r="BN335" s="1640"/>
      <c r="BO335" s="1640"/>
      <c r="BP335" s="1640"/>
      <c r="BQ335" s="1640"/>
      <c r="BR335" s="1640"/>
      <c r="BS335" s="1640"/>
      <c r="BT335" s="1640"/>
      <c r="BU335" s="1640"/>
      <c r="BV335" s="1164"/>
      <c r="BW335" s="1164"/>
      <c r="BX335" s="1164"/>
      <c r="BY335" s="1164"/>
      <c r="BZ335" s="1164"/>
      <c r="CA335" s="1164"/>
      <c r="CB335" s="1164"/>
      <c r="CC335" s="1164"/>
      <c r="CD335" s="1164"/>
      <c r="CE335" s="1164"/>
      <c r="CF335" s="1851"/>
    </row>
    <row customHeight="1" ht="11.25" hidden="1">
      <c r="A336" s="1796"/>
      <c r="B336" s="1640"/>
      <c r="C336" s="1640"/>
      <c r="D336" s="2596"/>
      <c r="E336" s="639"/>
      <c r="F336" s="639">
        <v>0</v>
      </c>
      <c r="G336" s="639"/>
      <c r="H336" s="639"/>
      <c r="I336" s="639"/>
      <c r="J336" s="639"/>
      <c r="K336" s="639"/>
      <c r="L336" s="639"/>
      <c r="M336" s="639"/>
      <c r="N336" s="639"/>
      <c r="O336" s="639"/>
      <c r="P336" s="639"/>
      <c r="Q336" s="639"/>
      <c r="R336" s="639"/>
      <c r="S336" s="640"/>
      <c r="T336" s="722"/>
      <c r="U336" s="2391"/>
      <c r="V336" s="2391"/>
      <c r="W336" s="1640"/>
      <c r="X336" s="1640"/>
      <c r="Y336" s="1640"/>
      <c r="Z336" s="1640"/>
      <c r="AA336" s="1640"/>
      <c r="AB336" s="1164"/>
      <c r="AC336" s="1799"/>
      <c r="AD336" s="633"/>
      <c r="AE336" s="1164"/>
      <c r="AF336" s="1164"/>
      <c r="AG336" s="1640"/>
      <c r="AH336" s="1640"/>
      <c r="AI336" s="1640"/>
      <c r="AJ336" s="1640"/>
      <c r="AK336" s="1640"/>
      <c r="AL336" s="1640"/>
      <c r="AM336" s="1640"/>
      <c r="AN336" s="1640"/>
      <c r="AO336" s="1640"/>
      <c r="AP336" s="1640"/>
      <c r="AQ336" s="1640"/>
      <c r="AR336" s="1640"/>
      <c r="AS336" s="1640"/>
      <c r="AT336" s="1640"/>
      <c r="AU336" s="1640"/>
      <c r="AV336" s="1640"/>
      <c r="AW336" s="1640"/>
      <c r="AX336" s="1640"/>
      <c r="AY336" s="1640"/>
      <c r="AZ336" s="1640"/>
      <c r="BA336" s="1640"/>
      <c r="BB336" s="1640"/>
      <c r="BC336" s="1640"/>
      <c r="BD336" s="1640"/>
      <c r="BE336" s="1640"/>
      <c r="BF336" s="1640"/>
      <c r="BG336" s="1640"/>
      <c r="BH336" s="1640"/>
      <c r="BI336" s="1640"/>
      <c r="BJ336" s="1640"/>
      <c r="BK336" s="1640"/>
      <c r="BL336" s="1640"/>
      <c r="BM336" s="1640"/>
      <c r="BN336" s="1640"/>
      <c r="BO336" s="1640"/>
      <c r="BP336" s="1640"/>
      <c r="BQ336" s="1640"/>
      <c r="BR336" s="1640"/>
      <c r="BS336" s="1640"/>
      <c r="BT336" s="1640"/>
      <c r="BU336" s="1640"/>
      <c r="BV336" s="1640"/>
      <c r="BW336" s="1640"/>
      <c r="BX336" s="1640"/>
      <c r="BY336" s="1640"/>
      <c r="BZ336" s="1640"/>
      <c r="CA336" s="1640"/>
      <c r="CB336" s="1640"/>
      <c r="CC336" s="1640"/>
      <c r="CD336" s="1640"/>
      <c r="CE336" s="1640"/>
      <c r="CF336" s="1851"/>
    </row>
    <row customHeight="1" ht="11.25" hidden="1">
      <c r="A337" s="1809"/>
      <c r="B337" s="1164"/>
      <c r="C337" s="416"/>
      <c r="D337" s="2597"/>
      <c r="E337" s="653" t="s">
        <v>22</v>
      </c>
      <c r="F337" s="1172" t="s">
        <v>22</v>
      </c>
      <c r="G337" s="1172" t="s">
        <v>760</v>
      </c>
      <c r="H337" s="655" t="s">
        <v>22</v>
      </c>
      <c r="I337" s="655"/>
      <c r="J337" s="655"/>
      <c r="K337" s="655"/>
      <c r="L337" s="655"/>
      <c r="M337" s="655"/>
      <c r="N337" s="655"/>
      <c r="O337" s="655"/>
      <c r="P337" s="655"/>
      <c r="Q337" s="655"/>
      <c r="R337" s="656"/>
      <c r="S337" s="657"/>
      <c r="T337" s="722"/>
      <c r="U337" s="2391"/>
      <c r="V337" s="2391"/>
      <c r="W337" s="1164"/>
      <c r="X337" s="1164"/>
      <c r="Y337" s="1164"/>
      <c r="Z337" s="1164"/>
      <c r="AA337" s="1640"/>
      <c r="AB337" s="1164"/>
      <c r="AC337" s="1799"/>
      <c r="AD337" s="633"/>
      <c r="AE337" s="1164"/>
      <c r="AF337" s="1164"/>
      <c r="AG337" s="1640"/>
      <c r="AH337" s="1640"/>
      <c r="AI337" s="1640"/>
      <c r="AJ337" s="1640"/>
      <c r="AK337" s="1640"/>
      <c r="AL337" s="1640"/>
      <c r="AM337" s="1640"/>
      <c r="AN337" s="1640"/>
      <c r="AO337" s="1640"/>
      <c r="AP337" s="1640"/>
      <c r="AQ337" s="1640"/>
      <c r="AR337" s="1640"/>
      <c r="AS337" s="1640"/>
      <c r="AT337" s="1640"/>
      <c r="AU337" s="1640"/>
      <c r="AV337" s="1640"/>
      <c r="AW337" s="1640"/>
      <c r="AX337" s="1640"/>
      <c r="AY337" s="1640"/>
      <c r="AZ337" s="1640"/>
      <c r="BA337" s="1640"/>
      <c r="BB337" s="1640"/>
      <c r="BC337" s="1640"/>
      <c r="BD337" s="1640"/>
      <c r="BE337" s="1640"/>
      <c r="BF337" s="1640"/>
      <c r="BG337" s="1640"/>
      <c r="BH337" s="1640"/>
      <c r="BI337" s="1640"/>
      <c r="BJ337" s="1640"/>
      <c r="BK337" s="1640"/>
      <c r="BL337" s="1640"/>
      <c r="BM337" s="1640"/>
      <c r="BN337" s="1640"/>
      <c r="BO337" s="1640"/>
      <c r="BP337" s="1640"/>
      <c r="BQ337" s="1640"/>
      <c r="BR337" s="1640"/>
      <c r="BS337" s="1640"/>
      <c r="BT337" s="1640"/>
      <c r="BU337" s="1640"/>
      <c r="BV337" s="1164"/>
      <c r="BW337" s="1164"/>
      <c r="BX337" s="1164"/>
      <c r="BY337" s="1164"/>
      <c r="BZ337" s="1164"/>
      <c r="CA337" s="1164"/>
      <c r="CB337" s="1164"/>
      <c r="CC337" s="1164"/>
      <c r="CD337" s="1164"/>
      <c r="CE337" s="1164"/>
      <c r="CF337" s="1851"/>
    </row>
    <row customHeight="1" ht="15" hidden="1">
      <c r="A338" s="627" t="s">
        <v>260</v>
      </c>
      <c r="B338" s="628"/>
      <c r="C338" s="628" t="s">
        <v>22</v>
      </c>
      <c r="D338" s="2595" t="s">
        <v>795</v>
      </c>
      <c r="E338" s="2394" t="s">
        <v>173</v>
      </c>
      <c r="F338" s="2395"/>
      <c r="G338" s="2396"/>
      <c r="H338" s="2400" t="str">
        <f>IF(A338="","",INDEX(DIFFERENTIATION_UNMERGE_VD,MATCH(A338,DIFFERENTIATION_ID_DIFF,0)))</f>
        <v>Холодное водоснабжение. Подвозная вода</v>
      </c>
      <c r="I338" s="2400"/>
      <c r="J338" s="2400"/>
      <c r="K338" s="2400"/>
      <c r="L338" s="2400"/>
      <c r="M338" s="2400"/>
      <c r="N338" s="2400"/>
      <c r="O338" s="2400"/>
      <c r="P338" s="2400"/>
      <c r="Q338" s="2400"/>
      <c r="R338" s="2400"/>
      <c r="S338" s="723"/>
      <c r="T338" s="720"/>
      <c r="U338" s="629"/>
      <c r="V338" s="629"/>
      <c r="W338" s="630"/>
      <c r="X338" s="630"/>
      <c r="Y338" s="630"/>
      <c r="Z338" s="630"/>
      <c r="AA338" s="631"/>
      <c r="AB338" s="632"/>
      <c r="AC338" s="2392"/>
      <c r="AD338" s="633"/>
      <c r="AE338" s="634" t="s">
        <v>22</v>
      </c>
      <c r="AF338" s="634"/>
      <c r="AG338" s="635" t="s">
        <v>754</v>
      </c>
      <c r="AH338" s="636">
        <v>3</v>
      </c>
      <c r="AI338" s="629"/>
      <c r="AJ338" s="629"/>
      <c r="AK338" s="629"/>
      <c r="AL338" s="629"/>
      <c r="AM338" s="629"/>
      <c r="AN338" s="629"/>
      <c r="AO338" s="629"/>
      <c r="AP338" s="629"/>
      <c r="AQ338" s="629"/>
      <c r="AR338" s="629"/>
      <c r="AS338" s="629"/>
      <c r="AT338" s="629"/>
      <c r="AU338" s="629"/>
      <c r="AV338" s="629"/>
      <c r="AW338" s="629"/>
      <c r="AX338" s="629"/>
      <c r="AY338" s="629"/>
      <c r="AZ338" s="629"/>
      <c r="BA338" s="629"/>
      <c r="BB338" s="629"/>
      <c r="BC338" s="629"/>
      <c r="BD338" s="629"/>
      <c r="BE338" s="629"/>
      <c r="BF338" s="629"/>
      <c r="BG338" s="629"/>
      <c r="BH338" s="629"/>
      <c r="BI338" s="629"/>
      <c r="BJ338" s="629"/>
      <c r="BK338" s="629"/>
      <c r="BL338" s="629"/>
      <c r="BM338" s="629"/>
      <c r="BN338" s="629"/>
      <c r="BO338" s="629"/>
      <c r="BP338" s="629"/>
      <c r="BQ338" s="629"/>
      <c r="BR338" s="629"/>
      <c r="BS338" s="629"/>
      <c r="BT338" s="629"/>
      <c r="BU338" s="629"/>
      <c r="BV338" s="630"/>
      <c r="BW338" s="630"/>
      <c r="BX338" s="630"/>
      <c r="BY338" s="630"/>
      <c r="BZ338" s="630"/>
      <c r="CA338" s="630"/>
      <c r="CB338" s="630"/>
      <c r="CC338" s="630"/>
      <c r="CD338" s="630"/>
      <c r="CE338" s="630"/>
      <c r="CF338" s="1851"/>
    </row>
    <row customHeight="1" ht="15" hidden="1">
      <c r="A339" s="627"/>
      <c r="B339" s="628"/>
      <c r="C339" s="628"/>
      <c r="D339" s="2596"/>
      <c r="E339" s="2394" t="s">
        <v>702</v>
      </c>
      <c r="F339" s="2395"/>
      <c r="G339" s="2396"/>
      <c r="H339" s="2400" t="str">
        <f>IF(A338="","",INDEX(DIFFERENTIATION_UNMERGE_AREA,MATCH(A338,DIFFERENTIATION_ID_DIFF,0)))</f>
        <v>Территория 4</v>
      </c>
      <c r="I339" s="2400"/>
      <c r="J339" s="2400"/>
      <c r="K339" s="2400"/>
      <c r="L339" s="2400"/>
      <c r="M339" s="2400"/>
      <c r="N339" s="2400"/>
      <c r="O339" s="2400"/>
      <c r="P339" s="2400"/>
      <c r="Q339" s="2400"/>
      <c r="R339" s="2400"/>
      <c r="S339" s="723"/>
      <c r="T339" s="720"/>
      <c r="U339" s="629"/>
      <c r="V339" s="629"/>
      <c r="W339" s="630"/>
      <c r="X339" s="630"/>
      <c r="Y339" s="630"/>
      <c r="Z339" s="630"/>
      <c r="AA339" s="631"/>
      <c r="AB339" s="632"/>
      <c r="AC339" s="2392"/>
      <c r="AD339" s="633"/>
      <c r="AE339" s="634"/>
      <c r="AF339" s="634"/>
      <c r="AG339" s="635"/>
      <c r="AH339" s="636"/>
      <c r="AI339" s="629"/>
      <c r="AJ339" s="629"/>
      <c r="AK339" s="62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629"/>
      <c r="BG339" s="629"/>
      <c r="BH339" s="629"/>
      <c r="BI339" s="629"/>
      <c r="BJ339" s="629"/>
      <c r="BK339" s="629"/>
      <c r="BL339" s="629"/>
      <c r="BM339" s="629"/>
      <c r="BN339" s="629"/>
      <c r="BO339" s="629"/>
      <c r="BP339" s="629"/>
      <c r="BQ339" s="629"/>
      <c r="BR339" s="629"/>
      <c r="BS339" s="629"/>
      <c r="BT339" s="629"/>
      <c r="BU339" s="629"/>
      <c r="BV339" s="630"/>
      <c r="BW339" s="630"/>
      <c r="BX339" s="630"/>
      <c r="BY339" s="630"/>
      <c r="BZ339" s="630"/>
      <c r="CA339" s="630"/>
      <c r="CB339" s="630"/>
      <c r="CC339" s="630"/>
      <c r="CD339" s="630"/>
      <c r="CE339" s="630"/>
      <c r="CF339" s="1851"/>
    </row>
    <row customHeight="1" ht="15" hidden="1">
      <c r="A340" s="627"/>
      <c r="B340" s="628"/>
      <c r="C340" s="628"/>
      <c r="D340" s="2596"/>
      <c r="E340" s="2394" t="s">
        <v>703</v>
      </c>
      <c r="F340" s="2395"/>
      <c r="G340" s="2396"/>
      <c r="H340" s="2400" t="str">
        <f>IF(A338="","",INDEX(DIFFERENTIATION_UNMERGE_SYSTEM,MATCH(A338,DIFFERENTIATION_ID_DIFF,0)))</f>
        <v>Городской округ ЗАТО г.Фокино (пгт. Путятин)</v>
      </c>
      <c r="I340" s="2400"/>
      <c r="J340" s="2400"/>
      <c r="K340" s="2400"/>
      <c r="L340" s="2400"/>
      <c r="M340" s="2400"/>
      <c r="N340" s="2400"/>
      <c r="O340" s="2400"/>
      <c r="P340" s="2400"/>
      <c r="Q340" s="2400"/>
      <c r="R340" s="2400"/>
      <c r="S340" s="723"/>
      <c r="T340" s="720"/>
      <c r="U340" s="629"/>
      <c r="V340" s="629"/>
      <c r="W340" s="630"/>
      <c r="X340" s="630"/>
      <c r="Y340" s="630"/>
      <c r="Z340" s="630"/>
      <c r="AA340" s="631"/>
      <c r="AB340" s="632"/>
      <c r="AC340" s="2392"/>
      <c r="AD340" s="633"/>
      <c r="AE340" s="634"/>
      <c r="AF340" s="634"/>
      <c r="AG340" s="635"/>
      <c r="AH340" s="636"/>
      <c r="AI340" s="629"/>
      <c r="AJ340" s="629"/>
      <c r="AK340" s="629"/>
      <c r="AL340" s="629"/>
      <c r="AM340" s="629"/>
      <c r="AN340" s="629"/>
      <c r="AO340" s="629"/>
      <c r="AP340" s="629"/>
      <c r="AQ340" s="629"/>
      <c r="AR340" s="629"/>
      <c r="AS340" s="629"/>
      <c r="AT340" s="629"/>
      <c r="AU340" s="629"/>
      <c r="AV340" s="629"/>
      <c r="AW340" s="629"/>
      <c r="AX340" s="629"/>
      <c r="AY340" s="629"/>
      <c r="AZ340" s="629"/>
      <c r="BA340" s="629"/>
      <c r="BB340" s="629"/>
      <c r="BC340" s="629"/>
      <c r="BD340" s="629"/>
      <c r="BE340" s="629"/>
      <c r="BF340" s="629"/>
      <c r="BG340" s="629"/>
      <c r="BH340" s="629"/>
      <c r="BI340" s="629"/>
      <c r="BJ340" s="629"/>
      <c r="BK340" s="629"/>
      <c r="BL340" s="629"/>
      <c r="BM340" s="629"/>
      <c r="BN340" s="629"/>
      <c r="BO340" s="629"/>
      <c r="BP340" s="629"/>
      <c r="BQ340" s="629"/>
      <c r="BR340" s="629"/>
      <c r="BS340" s="629"/>
      <c r="BT340" s="629"/>
      <c r="BU340" s="629"/>
      <c r="BV340" s="630"/>
      <c r="BW340" s="630"/>
      <c r="BX340" s="630"/>
      <c r="BY340" s="630"/>
      <c r="BZ340" s="630"/>
      <c r="CA340" s="630"/>
      <c r="CB340" s="630"/>
      <c r="CC340" s="630"/>
      <c r="CD340" s="630"/>
      <c r="CE340" s="630"/>
      <c r="CF340" s="1851"/>
    </row>
    <row customHeight="1" ht="24.75" hidden="1">
      <c r="A341" s="1809"/>
      <c r="B341" s="1164"/>
      <c r="C341" s="416"/>
      <c r="D341" s="2596"/>
      <c r="E341" s="2393" t="s">
        <v>755</v>
      </c>
      <c r="F341" s="2393"/>
      <c r="G341" s="2393"/>
      <c r="H341" s="2393"/>
      <c r="I341" s="2393"/>
      <c r="J341" s="2393"/>
      <c r="K341" s="2393"/>
      <c r="L341" s="2393"/>
      <c r="M341" s="2393"/>
      <c r="N341" s="2393"/>
      <c r="O341" s="2393"/>
      <c r="P341" s="2393"/>
      <c r="Q341" s="562">
        <f>SUMIF(T342:T343,"i",Q342:Q343)</f>
        <v>0</v>
      </c>
      <c r="R341" s="1021"/>
      <c r="S341" s="1801" t="s">
        <v>756</v>
      </c>
      <c r="T341" s="721" t="s">
        <v>757</v>
      </c>
      <c r="U341" s="2391">
        <v>1</v>
      </c>
      <c r="V341" s="2391" t="str">
        <f>INDEX(B_FHD_FLAG_INDEX_1,1,MATCH(A338,B_FHD_FLAG_DIFFERENTIATION,0))</f>
        <v>отсутствует</v>
      </c>
      <c r="W341" s="1164"/>
      <c r="X341" s="1164"/>
      <c r="Y341" s="1164"/>
      <c r="Z341" s="1164"/>
      <c r="AA341" s="1640"/>
      <c r="AB341" s="1164"/>
      <c r="AC341" s="2392"/>
      <c r="AD341" s="633"/>
      <c r="AE341" s="1164"/>
      <c r="AF341" s="1164"/>
      <c r="AG341" s="1640"/>
      <c r="AH341" s="1640"/>
      <c r="AI341" s="1640"/>
      <c r="AJ341" s="1640"/>
      <c r="AK341" s="1640"/>
      <c r="AL341" s="1640"/>
      <c r="AM341" s="1640"/>
      <c r="AN341" s="1640"/>
      <c r="AO341" s="1640"/>
      <c r="AP341" s="1640"/>
      <c r="AQ341" s="1640"/>
      <c r="AR341" s="1640"/>
      <c r="AS341" s="1640"/>
      <c r="AT341" s="1640"/>
      <c r="AU341" s="1640"/>
      <c r="AV341" s="1640"/>
      <c r="AW341" s="1640"/>
      <c r="AX341" s="1640"/>
      <c r="AY341" s="1640"/>
      <c r="AZ341" s="1640"/>
      <c r="BA341" s="1640"/>
      <c r="BB341" s="1640"/>
      <c r="BC341" s="1640"/>
      <c r="BD341" s="1640"/>
      <c r="BE341" s="1640"/>
      <c r="BF341" s="1640"/>
      <c r="BG341" s="1640"/>
      <c r="BH341" s="1640"/>
      <c r="BI341" s="1640"/>
      <c r="BJ341" s="1640"/>
      <c r="BK341" s="1640"/>
      <c r="BL341" s="1640"/>
      <c r="BM341" s="1640"/>
      <c r="BN341" s="1640"/>
      <c r="BO341" s="1640"/>
      <c r="BP341" s="1640"/>
      <c r="BQ341" s="1640"/>
      <c r="BR341" s="1640"/>
      <c r="BS341" s="1640"/>
      <c r="BT341" s="1640"/>
      <c r="BU341" s="1640"/>
      <c r="BV341" s="1164"/>
      <c r="BW341" s="1164"/>
      <c r="BX341" s="1164"/>
      <c r="BY341" s="1164"/>
      <c r="BZ341" s="1164"/>
      <c r="CA341" s="1164"/>
      <c r="CB341" s="1164"/>
      <c r="CC341" s="1164"/>
      <c r="CD341" s="1164"/>
      <c r="CE341" s="1164"/>
      <c r="CF341" s="1851"/>
    </row>
    <row customHeight="1" ht="11.25" hidden="1">
      <c r="A342" s="1796"/>
      <c r="B342" s="1640"/>
      <c r="C342" s="1640"/>
      <c r="D342" s="2596"/>
      <c r="E342" s="639"/>
      <c r="F342" s="639">
        <v>0</v>
      </c>
      <c r="G342" s="639"/>
      <c r="H342" s="639"/>
      <c r="I342" s="639"/>
      <c r="J342" s="639"/>
      <c r="K342" s="639"/>
      <c r="L342" s="639"/>
      <c r="M342" s="639"/>
      <c r="N342" s="639"/>
      <c r="O342" s="639"/>
      <c r="P342" s="639"/>
      <c r="Q342" s="639"/>
      <c r="R342" s="639"/>
      <c r="S342" s="640"/>
      <c r="T342" s="722"/>
      <c r="U342" s="2391"/>
      <c r="V342" s="2391"/>
      <c r="W342" s="1640"/>
      <c r="X342" s="1640"/>
      <c r="Y342" s="1640"/>
      <c r="Z342" s="1640"/>
      <c r="AA342" s="1640"/>
      <c r="AB342" s="1164"/>
      <c r="AC342" s="2392"/>
      <c r="AD342" s="633"/>
      <c r="AE342" s="1164"/>
      <c r="AF342" s="1164"/>
      <c r="AG342" s="1640"/>
      <c r="AH342" s="1640"/>
      <c r="AI342" s="1640"/>
      <c r="AJ342" s="1640"/>
      <c r="AK342" s="1640"/>
      <c r="AL342" s="1640"/>
      <c r="AM342" s="1640"/>
      <c r="AN342" s="1640"/>
      <c r="AO342" s="1640"/>
      <c r="AP342" s="1640"/>
      <c r="AQ342" s="1640"/>
      <c r="AR342" s="1640"/>
      <c r="AS342" s="1640"/>
      <c r="AT342" s="1640"/>
      <c r="AU342" s="1640"/>
      <c r="AV342" s="1640"/>
      <c r="AW342" s="1640"/>
      <c r="AX342" s="1640"/>
      <c r="AY342" s="1640"/>
      <c r="AZ342" s="1640"/>
      <c r="BA342" s="1640"/>
      <c r="BB342" s="1640"/>
      <c r="BC342" s="1640"/>
      <c r="BD342" s="1640"/>
      <c r="BE342" s="1640"/>
      <c r="BF342" s="1640"/>
      <c r="BG342" s="1640"/>
      <c r="BH342" s="1640"/>
      <c r="BI342" s="1640"/>
      <c r="BJ342" s="1640"/>
      <c r="BK342" s="1640"/>
      <c r="BL342" s="1640"/>
      <c r="BM342" s="1640"/>
      <c r="BN342" s="1640"/>
      <c r="BO342" s="1640"/>
      <c r="BP342" s="1640"/>
      <c r="BQ342" s="1640"/>
      <c r="BR342" s="1640"/>
      <c r="BS342" s="1640"/>
      <c r="BT342" s="1640"/>
      <c r="BU342" s="1640"/>
      <c r="BV342" s="1640"/>
      <c r="BW342" s="1640"/>
      <c r="BX342" s="1640"/>
      <c r="BY342" s="1640"/>
      <c r="BZ342" s="1640"/>
      <c r="CA342" s="1640"/>
      <c r="CB342" s="1640"/>
      <c r="CC342" s="1640"/>
      <c r="CD342" s="1640"/>
      <c r="CE342" s="1640"/>
      <c r="CF342" s="1851"/>
    </row>
    <row customHeight="1" ht="11.25" hidden="1">
      <c r="A343" s="1809"/>
      <c r="B343" s="1164"/>
      <c r="C343" s="416"/>
      <c r="D343" s="2596"/>
      <c r="E343" s="653" t="s">
        <v>22</v>
      </c>
      <c r="F343" s="1172" t="s">
        <v>22</v>
      </c>
      <c r="G343" s="1172" t="s">
        <v>760</v>
      </c>
      <c r="H343" s="655" t="s">
        <v>22</v>
      </c>
      <c r="I343" s="655"/>
      <c r="J343" s="655"/>
      <c r="K343" s="655"/>
      <c r="L343" s="655"/>
      <c r="M343" s="655"/>
      <c r="N343" s="655"/>
      <c r="O343" s="655"/>
      <c r="P343" s="655"/>
      <c r="Q343" s="655"/>
      <c r="R343" s="656"/>
      <c r="S343" s="657"/>
      <c r="T343" s="722"/>
      <c r="U343" s="2391"/>
      <c r="V343" s="2391"/>
      <c r="W343" s="1164"/>
      <c r="X343" s="1164"/>
      <c r="Y343" s="1164"/>
      <c r="Z343" s="1164"/>
      <c r="AA343" s="1640"/>
      <c r="AB343" s="1164"/>
      <c r="AC343" s="2392"/>
      <c r="AD343" s="633"/>
      <c r="AE343" s="1164"/>
      <c r="AF343" s="1164"/>
      <c r="AG343" s="1640"/>
      <c r="AH343" s="1640"/>
      <c r="AI343" s="1640"/>
      <c r="AJ343" s="1640"/>
      <c r="AK343" s="1640"/>
      <c r="AL343" s="1640"/>
      <c r="AM343" s="1640"/>
      <c r="AN343" s="1640"/>
      <c r="AO343" s="1640"/>
      <c r="AP343" s="1640"/>
      <c r="AQ343" s="1640"/>
      <c r="AR343" s="1640"/>
      <c r="AS343" s="1640"/>
      <c r="AT343" s="1640"/>
      <c r="AU343" s="1640"/>
      <c r="AV343" s="1640"/>
      <c r="AW343" s="1640"/>
      <c r="AX343" s="1640"/>
      <c r="AY343" s="1640"/>
      <c r="AZ343" s="1640"/>
      <c r="BA343" s="1640"/>
      <c r="BB343" s="1640"/>
      <c r="BC343" s="1640"/>
      <c r="BD343" s="1640"/>
      <c r="BE343" s="1640"/>
      <c r="BF343" s="1640"/>
      <c r="BG343" s="1640"/>
      <c r="BH343" s="1640"/>
      <c r="BI343" s="1640"/>
      <c r="BJ343" s="1640"/>
      <c r="BK343" s="1640"/>
      <c r="BL343" s="1640"/>
      <c r="BM343" s="1640"/>
      <c r="BN343" s="1640"/>
      <c r="BO343" s="1640"/>
      <c r="BP343" s="1640"/>
      <c r="BQ343" s="1640"/>
      <c r="BR343" s="1640"/>
      <c r="BS343" s="1640"/>
      <c r="BT343" s="1640"/>
      <c r="BU343" s="1640"/>
      <c r="BV343" s="1164"/>
      <c r="BW343" s="1164"/>
      <c r="BX343" s="1164"/>
      <c r="BY343" s="1164"/>
      <c r="BZ343" s="1164"/>
      <c r="CA343" s="1164"/>
      <c r="CB343" s="1164"/>
      <c r="CC343" s="1164"/>
      <c r="CD343" s="1164"/>
      <c r="CE343" s="1164"/>
      <c r="CF343" s="1851"/>
    </row>
    <row customHeight="1" ht="24.75" hidden="1">
      <c r="A344" s="1809"/>
      <c r="B344" s="1164"/>
      <c r="C344" s="416"/>
      <c r="D344" s="2596"/>
      <c r="E344" s="2393" t="s">
        <v>758</v>
      </c>
      <c r="F344" s="2393"/>
      <c r="G344" s="2393"/>
      <c r="H344" s="2393"/>
      <c r="I344" s="2393"/>
      <c r="J344" s="2393"/>
      <c r="K344" s="2393"/>
      <c r="L344" s="2393"/>
      <c r="M344" s="2393"/>
      <c r="N344" s="2393"/>
      <c r="O344" s="2393"/>
      <c r="P344" s="2393"/>
      <c r="Q344" s="562">
        <f>SUMIF(T345:T346,"i",Q345:Q346)</f>
        <v>0</v>
      </c>
      <c r="R344" s="1021"/>
      <c r="S344" s="1801" t="s">
        <v>759</v>
      </c>
      <c r="T344" s="721" t="s">
        <v>757</v>
      </c>
      <c r="U344" s="2391">
        <v>1</v>
      </c>
      <c r="V344" s="2391" t="str">
        <f>INDEX(B_FHD_FLAG_INDEX_2,1,MATCH(A338,B_FHD_FLAG_DIFFERENTIATION,0))</f>
        <v>отсутствует</v>
      </c>
      <c r="W344" s="1164"/>
      <c r="X344" s="1164"/>
      <c r="Y344" s="1164"/>
      <c r="Z344" s="1164"/>
      <c r="AA344" s="1640"/>
      <c r="AB344" s="1164"/>
      <c r="AC344" s="1799"/>
      <c r="AD344" s="633"/>
      <c r="AE344" s="1164"/>
      <c r="AF344" s="1164"/>
      <c r="AG344" s="1640"/>
      <c r="AH344" s="1640"/>
      <c r="AI344" s="1640"/>
      <c r="AJ344" s="1640"/>
      <c r="AK344" s="1640"/>
      <c r="AL344" s="1640"/>
      <c r="AM344" s="1640"/>
      <c r="AN344" s="1640"/>
      <c r="AO344" s="1640"/>
      <c r="AP344" s="1640"/>
      <c r="AQ344" s="1640"/>
      <c r="AR344" s="1640"/>
      <c r="AS344" s="1640"/>
      <c r="AT344" s="1640"/>
      <c r="AU344" s="1640"/>
      <c r="AV344" s="1640"/>
      <c r="AW344" s="1640"/>
      <c r="AX344" s="1640"/>
      <c r="AY344" s="1640"/>
      <c r="AZ344" s="1640"/>
      <c r="BA344" s="1640"/>
      <c r="BB344" s="1640"/>
      <c r="BC344" s="1640"/>
      <c r="BD344" s="1640"/>
      <c r="BE344" s="1640"/>
      <c r="BF344" s="1640"/>
      <c r="BG344" s="1640"/>
      <c r="BH344" s="1640"/>
      <c r="BI344" s="1640"/>
      <c r="BJ344" s="1640"/>
      <c r="BK344" s="1640"/>
      <c r="BL344" s="1640"/>
      <c r="BM344" s="1640"/>
      <c r="BN344" s="1640"/>
      <c r="BO344" s="1640"/>
      <c r="BP344" s="1640"/>
      <c r="BQ344" s="1640"/>
      <c r="BR344" s="1640"/>
      <c r="BS344" s="1640"/>
      <c r="BT344" s="1640"/>
      <c r="BU344" s="1640"/>
      <c r="BV344" s="1164"/>
      <c r="BW344" s="1164"/>
      <c r="BX344" s="1164"/>
      <c r="BY344" s="1164"/>
      <c r="BZ344" s="1164"/>
      <c r="CA344" s="1164"/>
      <c r="CB344" s="1164"/>
      <c r="CC344" s="1164"/>
      <c r="CD344" s="1164"/>
      <c r="CE344" s="1164"/>
      <c r="CF344" s="1851"/>
    </row>
    <row customHeight="1" ht="11.25" hidden="1">
      <c r="A345" s="1796"/>
      <c r="B345" s="1640"/>
      <c r="C345" s="1640"/>
      <c r="D345" s="2596"/>
      <c r="E345" s="639"/>
      <c r="F345" s="639">
        <v>0</v>
      </c>
      <c r="G345" s="639"/>
      <c r="H345" s="639"/>
      <c r="I345" s="639"/>
      <c r="J345" s="639"/>
      <c r="K345" s="639"/>
      <c r="L345" s="639"/>
      <c r="M345" s="639"/>
      <c r="N345" s="639"/>
      <c r="O345" s="639"/>
      <c r="P345" s="639"/>
      <c r="Q345" s="639"/>
      <c r="R345" s="639"/>
      <c r="S345" s="640"/>
      <c r="T345" s="722"/>
      <c r="U345" s="2391"/>
      <c r="V345" s="2391"/>
      <c r="W345" s="1640"/>
      <c r="X345" s="1640"/>
      <c r="Y345" s="1640"/>
      <c r="Z345" s="1640"/>
      <c r="AA345" s="1640"/>
      <c r="AB345" s="1164"/>
      <c r="AC345" s="1799"/>
      <c r="AD345" s="633"/>
      <c r="AE345" s="1164"/>
      <c r="AF345" s="1164"/>
      <c r="AG345" s="1640"/>
      <c r="AH345" s="1640"/>
      <c r="AI345" s="1640"/>
      <c r="AJ345" s="1640"/>
      <c r="AK345" s="1640"/>
      <c r="AL345" s="1640"/>
      <c r="AM345" s="1640"/>
      <c r="AN345" s="1640"/>
      <c r="AO345" s="1640"/>
      <c r="AP345" s="1640"/>
      <c r="AQ345" s="1640"/>
      <c r="AR345" s="1640"/>
      <c r="AS345" s="1640"/>
      <c r="AT345" s="1640"/>
      <c r="AU345" s="1640"/>
      <c r="AV345" s="1640"/>
      <c r="AW345" s="1640"/>
      <c r="AX345" s="1640"/>
      <c r="AY345" s="1640"/>
      <c r="AZ345" s="1640"/>
      <c r="BA345" s="1640"/>
      <c r="BB345" s="1640"/>
      <c r="BC345" s="1640"/>
      <c r="BD345" s="1640"/>
      <c r="BE345" s="1640"/>
      <c r="BF345" s="1640"/>
      <c r="BG345" s="1640"/>
      <c r="BH345" s="1640"/>
      <c r="BI345" s="1640"/>
      <c r="BJ345" s="1640"/>
      <c r="BK345" s="1640"/>
      <c r="BL345" s="1640"/>
      <c r="BM345" s="1640"/>
      <c r="BN345" s="1640"/>
      <c r="BO345" s="1640"/>
      <c r="BP345" s="1640"/>
      <c r="BQ345" s="1640"/>
      <c r="BR345" s="1640"/>
      <c r="BS345" s="1640"/>
      <c r="BT345" s="1640"/>
      <c r="BU345" s="1640"/>
      <c r="BV345" s="1640"/>
      <c r="BW345" s="1640"/>
      <c r="BX345" s="1640"/>
      <c r="BY345" s="1640"/>
      <c r="BZ345" s="1640"/>
      <c r="CA345" s="1640"/>
      <c r="CB345" s="1640"/>
      <c r="CC345" s="1640"/>
      <c r="CD345" s="1640"/>
      <c r="CE345" s="1640"/>
      <c r="CF345" s="1851"/>
    </row>
    <row customHeight="1" ht="11.25" hidden="1">
      <c r="A346" s="1809"/>
      <c r="B346" s="1164"/>
      <c r="C346" s="416"/>
      <c r="D346" s="2597"/>
      <c r="E346" s="653" t="s">
        <v>22</v>
      </c>
      <c r="F346" s="1172" t="s">
        <v>22</v>
      </c>
      <c r="G346" s="1172" t="s">
        <v>760</v>
      </c>
      <c r="H346" s="655" t="s">
        <v>22</v>
      </c>
      <c r="I346" s="655"/>
      <c r="J346" s="655"/>
      <c r="K346" s="655"/>
      <c r="L346" s="655"/>
      <c r="M346" s="655"/>
      <c r="N346" s="655"/>
      <c r="O346" s="655"/>
      <c r="P346" s="655"/>
      <c r="Q346" s="655"/>
      <c r="R346" s="656"/>
      <c r="S346" s="657"/>
      <c r="T346" s="722"/>
      <c r="U346" s="2391"/>
      <c r="V346" s="2391"/>
      <c r="W346" s="1164"/>
      <c r="X346" s="1164"/>
      <c r="Y346" s="1164"/>
      <c r="Z346" s="1164"/>
      <c r="AA346" s="1640"/>
      <c r="AB346" s="1164"/>
      <c r="AC346" s="1799"/>
      <c r="AD346" s="633"/>
      <c r="AE346" s="1164"/>
      <c r="AF346" s="1164"/>
      <c r="AG346" s="1640"/>
      <c r="AH346" s="1640"/>
      <c r="AI346" s="1640"/>
      <c r="AJ346" s="1640"/>
      <c r="AK346" s="1640"/>
      <c r="AL346" s="1640"/>
      <c r="AM346" s="1640"/>
      <c r="AN346" s="1640"/>
      <c r="AO346" s="1640"/>
      <c r="AP346" s="1640"/>
      <c r="AQ346" s="1640"/>
      <c r="AR346" s="1640"/>
      <c r="AS346" s="1640"/>
      <c r="AT346" s="1640"/>
      <c r="AU346" s="1640"/>
      <c r="AV346" s="1640"/>
      <c r="AW346" s="1640"/>
      <c r="AX346" s="1640"/>
      <c r="AY346" s="1640"/>
      <c r="AZ346" s="1640"/>
      <c r="BA346" s="1640"/>
      <c r="BB346" s="1640"/>
      <c r="BC346" s="1640"/>
      <c r="BD346" s="1640"/>
      <c r="BE346" s="1640"/>
      <c r="BF346" s="1640"/>
      <c r="BG346" s="1640"/>
      <c r="BH346" s="1640"/>
      <c r="BI346" s="1640"/>
      <c r="BJ346" s="1640"/>
      <c r="BK346" s="1640"/>
      <c r="BL346" s="1640"/>
      <c r="BM346" s="1640"/>
      <c r="BN346" s="1640"/>
      <c r="BO346" s="1640"/>
      <c r="BP346" s="1640"/>
      <c r="BQ346" s="1640"/>
      <c r="BR346" s="1640"/>
      <c r="BS346" s="1640"/>
      <c r="BT346" s="1640"/>
      <c r="BU346" s="1640"/>
      <c r="BV346" s="1164"/>
      <c r="BW346" s="1164"/>
      <c r="BX346" s="1164"/>
      <c r="BY346" s="1164"/>
      <c r="BZ346" s="1164"/>
      <c r="CA346" s="1164"/>
      <c r="CB346" s="1164"/>
      <c r="CC346" s="1164"/>
      <c r="CD346" s="1164"/>
      <c r="CE346" s="1164"/>
      <c r="CF346" s="1851"/>
    </row>
    <row customHeight="1" ht="15" hidden="1">
      <c r="A347" s="627" t="s">
        <v>262</v>
      </c>
      <c r="B347" s="628"/>
      <c r="C347" s="628" t="s">
        <v>22</v>
      </c>
      <c r="D347" s="2595" t="s">
        <v>796</v>
      </c>
      <c r="E347" s="2394" t="s">
        <v>173</v>
      </c>
      <c r="F347" s="2395"/>
      <c r="G347" s="2396"/>
      <c r="H347" s="2400" t="str">
        <f>IF(A347="","",INDEX(DIFFERENTIATION_UNMERGE_VD,MATCH(A347,DIFFERENTIATION_ID_DIFF,0)))</f>
        <v>Холодное водоснабжение. Подвозная вода</v>
      </c>
      <c r="I347" s="2400"/>
      <c r="J347" s="2400"/>
      <c r="K347" s="2400"/>
      <c r="L347" s="2400"/>
      <c r="M347" s="2400"/>
      <c r="N347" s="2400"/>
      <c r="O347" s="2400"/>
      <c r="P347" s="2400"/>
      <c r="Q347" s="2400"/>
      <c r="R347" s="2400"/>
      <c r="S347" s="723"/>
      <c r="T347" s="720"/>
      <c r="U347" s="629"/>
      <c r="V347" s="629"/>
      <c r="W347" s="630"/>
      <c r="X347" s="630"/>
      <c r="Y347" s="630"/>
      <c r="Z347" s="630"/>
      <c r="AA347" s="631"/>
      <c r="AB347" s="632"/>
      <c r="AC347" s="2392"/>
      <c r="AD347" s="633"/>
      <c r="AE347" s="634" t="s">
        <v>22</v>
      </c>
      <c r="AF347" s="634"/>
      <c r="AG347" s="635" t="s">
        <v>754</v>
      </c>
      <c r="AH347" s="636">
        <v>3</v>
      </c>
      <c r="AI347" s="629"/>
      <c r="AJ347" s="629"/>
      <c r="AK347" s="629"/>
      <c r="AL347" s="629"/>
      <c r="AM347" s="629"/>
      <c r="AN347" s="629"/>
      <c r="AO347" s="629"/>
      <c r="AP347" s="629"/>
      <c r="AQ347" s="629"/>
      <c r="AR347" s="629"/>
      <c r="AS347" s="629"/>
      <c r="AT347" s="629"/>
      <c r="AU347" s="629"/>
      <c r="AV347" s="629"/>
      <c r="AW347" s="629"/>
      <c r="AX347" s="629"/>
      <c r="AY347" s="629"/>
      <c r="AZ347" s="629"/>
      <c r="BA347" s="629"/>
      <c r="BB347" s="629"/>
      <c r="BC347" s="629"/>
      <c r="BD347" s="629"/>
      <c r="BE347" s="629"/>
      <c r="BF347" s="629"/>
      <c r="BG347" s="629"/>
      <c r="BH347" s="629"/>
      <c r="BI347" s="629"/>
      <c r="BJ347" s="629"/>
      <c r="BK347" s="629"/>
      <c r="BL347" s="629"/>
      <c r="BM347" s="629"/>
      <c r="BN347" s="629"/>
      <c r="BO347" s="629"/>
      <c r="BP347" s="629"/>
      <c r="BQ347" s="629"/>
      <c r="BR347" s="629"/>
      <c r="BS347" s="629"/>
      <c r="BT347" s="629"/>
      <c r="BU347" s="629"/>
      <c r="BV347" s="630"/>
      <c r="BW347" s="630"/>
      <c r="BX347" s="630"/>
      <c r="BY347" s="630"/>
      <c r="BZ347" s="630"/>
      <c r="CA347" s="630"/>
      <c r="CB347" s="630"/>
      <c r="CC347" s="630"/>
      <c r="CD347" s="630"/>
      <c r="CE347" s="630"/>
      <c r="CF347" s="1851"/>
    </row>
    <row customHeight="1" ht="15" hidden="1">
      <c r="A348" s="627"/>
      <c r="B348" s="628"/>
      <c r="C348" s="628"/>
      <c r="D348" s="2596"/>
      <c r="E348" s="2394" t="s">
        <v>702</v>
      </c>
      <c r="F348" s="2395"/>
      <c r="G348" s="2396"/>
      <c r="H348" s="2400" t="str">
        <f>IF(A347="","",INDEX(DIFFERENTIATION_UNMERGE_AREA,MATCH(A347,DIFFERENTIATION_ID_DIFF,0)))</f>
        <v>Территория 8</v>
      </c>
      <c r="I348" s="2400"/>
      <c r="J348" s="2400"/>
      <c r="K348" s="2400"/>
      <c r="L348" s="2400"/>
      <c r="M348" s="2400"/>
      <c r="N348" s="2400"/>
      <c r="O348" s="2400"/>
      <c r="P348" s="2400"/>
      <c r="Q348" s="2400"/>
      <c r="R348" s="2400"/>
      <c r="S348" s="723"/>
      <c r="T348" s="720"/>
      <c r="U348" s="629"/>
      <c r="V348" s="629"/>
      <c r="W348" s="630"/>
      <c r="X348" s="630"/>
      <c r="Y348" s="630"/>
      <c r="Z348" s="630"/>
      <c r="AA348" s="631"/>
      <c r="AB348" s="632"/>
      <c r="AC348" s="2392"/>
      <c r="AD348" s="633"/>
      <c r="AE348" s="634"/>
      <c r="AF348" s="634"/>
      <c r="AG348" s="635"/>
      <c r="AH348" s="636"/>
      <c r="AI348" s="629"/>
      <c r="AJ348" s="629"/>
      <c r="AK348" s="629"/>
      <c r="AL348" s="629"/>
      <c r="AM348" s="629"/>
      <c r="AN348" s="629"/>
      <c r="AO348" s="629"/>
      <c r="AP348" s="629"/>
      <c r="AQ348" s="629"/>
      <c r="AR348" s="629"/>
      <c r="AS348" s="629"/>
      <c r="AT348" s="629"/>
      <c r="AU348" s="629"/>
      <c r="AV348" s="629"/>
      <c r="AW348" s="629"/>
      <c r="AX348" s="629"/>
      <c r="AY348" s="629"/>
      <c r="AZ348" s="629"/>
      <c r="BA348" s="629"/>
      <c r="BB348" s="629"/>
      <c r="BC348" s="629"/>
      <c r="BD348" s="629"/>
      <c r="BE348" s="629"/>
      <c r="BF348" s="629"/>
      <c r="BG348" s="629"/>
      <c r="BH348" s="629"/>
      <c r="BI348" s="629"/>
      <c r="BJ348" s="629"/>
      <c r="BK348" s="629"/>
      <c r="BL348" s="629"/>
      <c r="BM348" s="629"/>
      <c r="BN348" s="629"/>
      <c r="BO348" s="629"/>
      <c r="BP348" s="629"/>
      <c r="BQ348" s="629"/>
      <c r="BR348" s="629"/>
      <c r="BS348" s="629"/>
      <c r="BT348" s="629"/>
      <c r="BU348" s="629"/>
      <c r="BV348" s="630"/>
      <c r="BW348" s="630"/>
      <c r="BX348" s="630"/>
      <c r="BY348" s="630"/>
      <c r="BZ348" s="630"/>
      <c r="CA348" s="630"/>
      <c r="CB348" s="630"/>
      <c r="CC348" s="630"/>
      <c r="CD348" s="630"/>
      <c r="CE348" s="630"/>
      <c r="CF348" s="1851"/>
    </row>
    <row customHeight="1" ht="15" hidden="1">
      <c r="A349" s="627"/>
      <c r="B349" s="628"/>
      <c r="C349" s="628"/>
      <c r="D349" s="2596"/>
      <c r="E349" s="2394" t="s">
        <v>703</v>
      </c>
      <c r="F349" s="2395"/>
      <c r="G349" s="2396"/>
      <c r="H349" s="2400" t="str">
        <f>IF(A347="","",INDEX(DIFFERENTIATION_UNMERGE_SYSTEM,MATCH(A347,DIFFERENTIATION_ID_DIFF,0)))</f>
        <v> Черниговский муниципальный район, Черниговское сельское поселение (05653425)</v>
      </c>
      <c r="I349" s="2400"/>
      <c r="J349" s="2400"/>
      <c r="K349" s="2400"/>
      <c r="L349" s="2400"/>
      <c r="M349" s="2400"/>
      <c r="N349" s="2400"/>
      <c r="O349" s="2400"/>
      <c r="P349" s="2400"/>
      <c r="Q349" s="2400"/>
      <c r="R349" s="2400"/>
      <c r="S349" s="723"/>
      <c r="T349" s="720"/>
      <c r="U349" s="629"/>
      <c r="V349" s="629"/>
      <c r="W349" s="630"/>
      <c r="X349" s="630"/>
      <c r="Y349" s="630"/>
      <c r="Z349" s="630"/>
      <c r="AA349" s="631"/>
      <c r="AB349" s="632"/>
      <c r="AC349" s="2392"/>
      <c r="AD349" s="633"/>
      <c r="AE349" s="634"/>
      <c r="AF349" s="634"/>
      <c r="AG349" s="635"/>
      <c r="AH349" s="636"/>
      <c r="AI349" s="629"/>
      <c r="AJ349" s="629"/>
      <c r="AK349" s="629"/>
      <c r="AL349" s="629"/>
      <c r="AM349" s="629"/>
      <c r="AN349" s="629"/>
      <c r="AO349" s="629"/>
      <c r="AP349" s="629"/>
      <c r="AQ349" s="629"/>
      <c r="AR349" s="629"/>
      <c r="AS349" s="629"/>
      <c r="AT349" s="629"/>
      <c r="AU349" s="629"/>
      <c r="AV349" s="629"/>
      <c r="AW349" s="629"/>
      <c r="AX349" s="629"/>
      <c r="AY349" s="629"/>
      <c r="AZ349" s="629"/>
      <c r="BA349" s="629"/>
      <c r="BB349" s="629"/>
      <c r="BC349" s="629"/>
      <c r="BD349" s="629"/>
      <c r="BE349" s="629"/>
      <c r="BF349" s="629"/>
      <c r="BG349" s="629"/>
      <c r="BH349" s="629"/>
      <c r="BI349" s="629"/>
      <c r="BJ349" s="629"/>
      <c r="BK349" s="629"/>
      <c r="BL349" s="629"/>
      <c r="BM349" s="629"/>
      <c r="BN349" s="629"/>
      <c r="BO349" s="629"/>
      <c r="BP349" s="629"/>
      <c r="BQ349" s="629"/>
      <c r="BR349" s="629"/>
      <c r="BS349" s="629"/>
      <c r="BT349" s="629"/>
      <c r="BU349" s="629"/>
      <c r="BV349" s="630"/>
      <c r="BW349" s="630"/>
      <c r="BX349" s="630"/>
      <c r="BY349" s="630"/>
      <c r="BZ349" s="630"/>
      <c r="CA349" s="630"/>
      <c r="CB349" s="630"/>
      <c r="CC349" s="630"/>
      <c r="CD349" s="630"/>
      <c r="CE349" s="630"/>
      <c r="CF349" s="1851"/>
    </row>
    <row customHeight="1" ht="24.75" hidden="1">
      <c r="A350" s="1809"/>
      <c r="B350" s="1164"/>
      <c r="C350" s="416"/>
      <c r="D350" s="2596"/>
      <c r="E350" s="2393" t="s">
        <v>755</v>
      </c>
      <c r="F350" s="2393"/>
      <c r="G350" s="2393"/>
      <c r="H350" s="2393"/>
      <c r="I350" s="2393"/>
      <c r="J350" s="2393"/>
      <c r="K350" s="2393"/>
      <c r="L350" s="2393"/>
      <c r="M350" s="2393"/>
      <c r="N350" s="2393"/>
      <c r="O350" s="2393"/>
      <c r="P350" s="2393"/>
      <c r="Q350" s="562">
        <f>SUMIF(T351:T352,"i",Q351:Q352)</f>
        <v>0</v>
      </c>
      <c r="R350" s="1021"/>
      <c r="S350" s="1801" t="s">
        <v>756</v>
      </c>
      <c r="T350" s="721" t="s">
        <v>757</v>
      </c>
      <c r="U350" s="2391">
        <v>1</v>
      </c>
      <c r="V350" s="2391" t="str">
        <f>INDEX(B_FHD_FLAG_INDEX_1,1,MATCH(A347,B_FHD_FLAG_DIFFERENTIATION,0))</f>
        <v>отсутствует</v>
      </c>
      <c r="W350" s="1164"/>
      <c r="X350" s="1164"/>
      <c r="Y350" s="1164"/>
      <c r="Z350" s="1164"/>
      <c r="AA350" s="1640"/>
      <c r="AB350" s="1164"/>
      <c r="AC350" s="2392"/>
      <c r="AD350" s="633"/>
      <c r="AE350" s="1164"/>
      <c r="AF350" s="1164"/>
      <c r="AG350" s="1640"/>
      <c r="AH350" s="1640"/>
      <c r="AI350" s="1640"/>
      <c r="AJ350" s="1640"/>
      <c r="AK350" s="1640"/>
      <c r="AL350" s="1640"/>
      <c r="AM350" s="1640"/>
      <c r="AN350" s="1640"/>
      <c r="AO350" s="1640"/>
      <c r="AP350" s="1640"/>
      <c r="AQ350" s="1640"/>
      <c r="AR350" s="1640"/>
      <c r="AS350" s="1640"/>
      <c r="AT350" s="1640"/>
      <c r="AU350" s="1640"/>
      <c r="AV350" s="1640"/>
      <c r="AW350" s="1640"/>
      <c r="AX350" s="1640"/>
      <c r="AY350" s="1640"/>
      <c r="AZ350" s="1640"/>
      <c r="BA350" s="1640"/>
      <c r="BB350" s="1640"/>
      <c r="BC350" s="1640"/>
      <c r="BD350" s="1640"/>
      <c r="BE350" s="1640"/>
      <c r="BF350" s="1640"/>
      <c r="BG350" s="1640"/>
      <c r="BH350" s="1640"/>
      <c r="BI350" s="1640"/>
      <c r="BJ350" s="1640"/>
      <c r="BK350" s="1640"/>
      <c r="BL350" s="1640"/>
      <c r="BM350" s="1640"/>
      <c r="BN350" s="1640"/>
      <c r="BO350" s="1640"/>
      <c r="BP350" s="1640"/>
      <c r="BQ350" s="1640"/>
      <c r="BR350" s="1640"/>
      <c r="BS350" s="1640"/>
      <c r="BT350" s="1640"/>
      <c r="BU350" s="1640"/>
      <c r="BV350" s="1164"/>
      <c r="BW350" s="1164"/>
      <c r="BX350" s="1164"/>
      <c r="BY350" s="1164"/>
      <c r="BZ350" s="1164"/>
      <c r="CA350" s="1164"/>
      <c r="CB350" s="1164"/>
      <c r="CC350" s="1164"/>
      <c r="CD350" s="1164"/>
      <c r="CE350" s="1164"/>
      <c r="CF350" s="1851"/>
    </row>
    <row customHeight="1" ht="11.25" hidden="1">
      <c r="A351" s="1796"/>
      <c r="B351" s="1640"/>
      <c r="C351" s="1640"/>
      <c r="D351" s="2596"/>
      <c r="E351" s="639"/>
      <c r="F351" s="639">
        <v>0</v>
      </c>
      <c r="G351" s="639"/>
      <c r="H351" s="639"/>
      <c r="I351" s="639"/>
      <c r="J351" s="639"/>
      <c r="K351" s="639"/>
      <c r="L351" s="639"/>
      <c r="M351" s="639"/>
      <c r="N351" s="639"/>
      <c r="O351" s="639"/>
      <c r="P351" s="639"/>
      <c r="Q351" s="639"/>
      <c r="R351" s="639"/>
      <c r="S351" s="640"/>
      <c r="T351" s="722"/>
      <c r="U351" s="2391"/>
      <c r="V351" s="2391"/>
      <c r="W351" s="1640"/>
      <c r="X351" s="1640"/>
      <c r="Y351" s="1640"/>
      <c r="Z351" s="1640"/>
      <c r="AA351" s="1640"/>
      <c r="AB351" s="1164"/>
      <c r="AC351" s="2392"/>
      <c r="AD351" s="633"/>
      <c r="AE351" s="1164"/>
      <c r="AF351" s="1164"/>
      <c r="AG351" s="1640"/>
      <c r="AH351" s="1640"/>
      <c r="AI351" s="1640"/>
      <c r="AJ351" s="1640"/>
      <c r="AK351" s="1640"/>
      <c r="AL351" s="1640"/>
      <c r="AM351" s="1640"/>
      <c r="AN351" s="1640"/>
      <c r="AO351" s="1640"/>
      <c r="AP351" s="1640"/>
      <c r="AQ351" s="1640"/>
      <c r="AR351" s="1640"/>
      <c r="AS351" s="1640"/>
      <c r="AT351" s="1640"/>
      <c r="AU351" s="1640"/>
      <c r="AV351" s="1640"/>
      <c r="AW351" s="1640"/>
      <c r="AX351" s="1640"/>
      <c r="AY351" s="1640"/>
      <c r="AZ351" s="1640"/>
      <c r="BA351" s="1640"/>
      <c r="BB351" s="1640"/>
      <c r="BC351" s="1640"/>
      <c r="BD351" s="1640"/>
      <c r="BE351" s="1640"/>
      <c r="BF351" s="1640"/>
      <c r="BG351" s="1640"/>
      <c r="BH351" s="1640"/>
      <c r="BI351" s="1640"/>
      <c r="BJ351" s="1640"/>
      <c r="BK351" s="1640"/>
      <c r="BL351" s="1640"/>
      <c r="BM351" s="1640"/>
      <c r="BN351" s="1640"/>
      <c r="BO351" s="1640"/>
      <c r="BP351" s="1640"/>
      <c r="BQ351" s="1640"/>
      <c r="BR351" s="1640"/>
      <c r="BS351" s="1640"/>
      <c r="BT351" s="1640"/>
      <c r="BU351" s="1640"/>
      <c r="BV351" s="1640"/>
      <c r="BW351" s="1640"/>
      <c r="BX351" s="1640"/>
      <c r="BY351" s="1640"/>
      <c r="BZ351" s="1640"/>
      <c r="CA351" s="1640"/>
      <c r="CB351" s="1640"/>
      <c r="CC351" s="1640"/>
      <c r="CD351" s="1640"/>
      <c r="CE351" s="1640"/>
      <c r="CF351" s="1851"/>
    </row>
    <row customHeight="1" ht="11.25" hidden="1">
      <c r="A352" s="1809"/>
      <c r="B352" s="1164"/>
      <c r="C352" s="416"/>
      <c r="D352" s="2596"/>
      <c r="E352" s="653" t="s">
        <v>22</v>
      </c>
      <c r="F352" s="1172" t="s">
        <v>22</v>
      </c>
      <c r="G352" s="1172" t="s">
        <v>760</v>
      </c>
      <c r="H352" s="655" t="s">
        <v>22</v>
      </c>
      <c r="I352" s="655"/>
      <c r="J352" s="655"/>
      <c r="K352" s="655"/>
      <c r="L352" s="655"/>
      <c r="M352" s="655"/>
      <c r="N352" s="655"/>
      <c r="O352" s="655"/>
      <c r="P352" s="655"/>
      <c r="Q352" s="655"/>
      <c r="R352" s="656"/>
      <c r="S352" s="657"/>
      <c r="T352" s="722"/>
      <c r="U352" s="2391"/>
      <c r="V352" s="2391"/>
      <c r="W352" s="1164"/>
      <c r="X352" s="1164"/>
      <c r="Y352" s="1164"/>
      <c r="Z352" s="1164"/>
      <c r="AA352" s="1640"/>
      <c r="AB352" s="1164"/>
      <c r="AC352" s="2392"/>
      <c r="AD352" s="633"/>
      <c r="AE352" s="1164"/>
      <c r="AF352" s="1164"/>
      <c r="AG352" s="1640"/>
      <c r="AH352" s="1640"/>
      <c r="AI352" s="1640"/>
      <c r="AJ352" s="1640"/>
      <c r="AK352" s="1640"/>
      <c r="AL352" s="1640"/>
      <c r="AM352" s="1640"/>
      <c r="AN352" s="1640"/>
      <c r="AO352" s="1640"/>
      <c r="AP352" s="1640"/>
      <c r="AQ352" s="1640"/>
      <c r="AR352" s="1640"/>
      <c r="AS352" s="1640"/>
      <c r="AT352" s="1640"/>
      <c r="AU352" s="1640"/>
      <c r="AV352" s="1640"/>
      <c r="AW352" s="1640"/>
      <c r="AX352" s="1640"/>
      <c r="AY352" s="1640"/>
      <c r="AZ352" s="1640"/>
      <c r="BA352" s="1640"/>
      <c r="BB352" s="1640"/>
      <c r="BC352" s="1640"/>
      <c r="BD352" s="1640"/>
      <c r="BE352" s="1640"/>
      <c r="BF352" s="1640"/>
      <c r="BG352" s="1640"/>
      <c r="BH352" s="1640"/>
      <c r="BI352" s="1640"/>
      <c r="BJ352" s="1640"/>
      <c r="BK352" s="1640"/>
      <c r="BL352" s="1640"/>
      <c r="BM352" s="1640"/>
      <c r="BN352" s="1640"/>
      <c r="BO352" s="1640"/>
      <c r="BP352" s="1640"/>
      <c r="BQ352" s="1640"/>
      <c r="BR352" s="1640"/>
      <c r="BS352" s="1640"/>
      <c r="BT352" s="1640"/>
      <c r="BU352" s="1640"/>
      <c r="BV352" s="1164"/>
      <c r="BW352" s="1164"/>
      <c r="BX352" s="1164"/>
      <c r="BY352" s="1164"/>
      <c r="BZ352" s="1164"/>
      <c r="CA352" s="1164"/>
      <c r="CB352" s="1164"/>
      <c r="CC352" s="1164"/>
      <c r="CD352" s="1164"/>
      <c r="CE352" s="1164"/>
      <c r="CF352" s="1851"/>
    </row>
    <row customHeight="1" ht="24.75" hidden="1">
      <c r="A353" s="1809"/>
      <c r="B353" s="1164"/>
      <c r="C353" s="416"/>
      <c r="D353" s="2596"/>
      <c r="E353" s="2393" t="s">
        <v>758</v>
      </c>
      <c r="F353" s="2393"/>
      <c r="G353" s="2393"/>
      <c r="H353" s="2393"/>
      <c r="I353" s="2393"/>
      <c r="J353" s="2393"/>
      <c r="K353" s="2393"/>
      <c r="L353" s="2393"/>
      <c r="M353" s="2393"/>
      <c r="N353" s="2393"/>
      <c r="O353" s="2393"/>
      <c r="P353" s="2393"/>
      <c r="Q353" s="562">
        <f>SUMIF(T354:T355,"i",Q354:Q355)</f>
        <v>0</v>
      </c>
      <c r="R353" s="1021"/>
      <c r="S353" s="1801" t="s">
        <v>759</v>
      </c>
      <c r="T353" s="721" t="s">
        <v>757</v>
      </c>
      <c r="U353" s="2391">
        <v>1</v>
      </c>
      <c r="V353" s="2391" t="str">
        <f>INDEX(B_FHD_FLAG_INDEX_2,1,MATCH(A347,B_FHD_FLAG_DIFFERENTIATION,0))</f>
        <v>отсутствует</v>
      </c>
      <c r="W353" s="1164"/>
      <c r="X353" s="1164"/>
      <c r="Y353" s="1164"/>
      <c r="Z353" s="1164"/>
      <c r="AA353" s="1640"/>
      <c r="AB353" s="1164"/>
      <c r="AC353" s="1799"/>
      <c r="AD353" s="633"/>
      <c r="AE353" s="1164"/>
      <c r="AF353" s="1164"/>
      <c r="AG353" s="1640"/>
      <c r="AH353" s="1640"/>
      <c r="AI353" s="1640"/>
      <c r="AJ353" s="1640"/>
      <c r="AK353" s="1640"/>
      <c r="AL353" s="1640"/>
      <c r="AM353" s="1640"/>
      <c r="AN353" s="1640"/>
      <c r="AO353" s="1640"/>
      <c r="AP353" s="1640"/>
      <c r="AQ353" s="1640"/>
      <c r="AR353" s="1640"/>
      <c r="AS353" s="1640"/>
      <c r="AT353" s="1640"/>
      <c r="AU353" s="1640"/>
      <c r="AV353" s="1640"/>
      <c r="AW353" s="1640"/>
      <c r="AX353" s="1640"/>
      <c r="AY353" s="1640"/>
      <c r="AZ353" s="1640"/>
      <c r="BA353" s="1640"/>
      <c r="BB353" s="1640"/>
      <c r="BC353" s="1640"/>
      <c r="BD353" s="1640"/>
      <c r="BE353" s="1640"/>
      <c r="BF353" s="1640"/>
      <c r="BG353" s="1640"/>
      <c r="BH353" s="1640"/>
      <c r="BI353" s="1640"/>
      <c r="BJ353" s="1640"/>
      <c r="BK353" s="1640"/>
      <c r="BL353" s="1640"/>
      <c r="BM353" s="1640"/>
      <c r="BN353" s="1640"/>
      <c r="BO353" s="1640"/>
      <c r="BP353" s="1640"/>
      <c r="BQ353" s="1640"/>
      <c r="BR353" s="1640"/>
      <c r="BS353" s="1640"/>
      <c r="BT353" s="1640"/>
      <c r="BU353" s="1640"/>
      <c r="BV353" s="1164"/>
      <c r="BW353" s="1164"/>
      <c r="BX353" s="1164"/>
      <c r="BY353" s="1164"/>
      <c r="BZ353" s="1164"/>
      <c r="CA353" s="1164"/>
      <c r="CB353" s="1164"/>
      <c r="CC353" s="1164"/>
      <c r="CD353" s="1164"/>
      <c r="CE353" s="1164"/>
      <c r="CF353" s="1851"/>
    </row>
    <row customHeight="1" ht="11.25" hidden="1">
      <c r="A354" s="1796"/>
      <c r="B354" s="1640"/>
      <c r="C354" s="1640"/>
      <c r="D354" s="2596"/>
      <c r="E354" s="639"/>
      <c r="F354" s="639">
        <v>0</v>
      </c>
      <c r="G354" s="639"/>
      <c r="H354" s="639"/>
      <c r="I354" s="639"/>
      <c r="J354" s="639"/>
      <c r="K354" s="639"/>
      <c r="L354" s="639"/>
      <c r="M354" s="639"/>
      <c r="N354" s="639"/>
      <c r="O354" s="639"/>
      <c r="P354" s="639"/>
      <c r="Q354" s="639"/>
      <c r="R354" s="639"/>
      <c r="S354" s="640"/>
      <c r="T354" s="722"/>
      <c r="U354" s="2391"/>
      <c r="V354" s="2391"/>
      <c r="W354" s="1640"/>
      <c r="X354" s="1640"/>
      <c r="Y354" s="1640"/>
      <c r="Z354" s="1640"/>
      <c r="AA354" s="1640"/>
      <c r="AB354" s="1164"/>
      <c r="AC354" s="1799"/>
      <c r="AD354" s="633"/>
      <c r="AE354" s="1164"/>
      <c r="AF354" s="1164"/>
      <c r="AG354" s="1640"/>
      <c r="AH354" s="1640"/>
      <c r="AI354" s="1640"/>
      <c r="AJ354" s="1640"/>
      <c r="AK354" s="1640"/>
      <c r="AL354" s="1640"/>
      <c r="AM354" s="1640"/>
      <c r="AN354" s="1640"/>
      <c r="AO354" s="1640"/>
      <c r="AP354" s="1640"/>
      <c r="AQ354" s="1640"/>
      <c r="AR354" s="1640"/>
      <c r="AS354" s="1640"/>
      <c r="AT354" s="1640"/>
      <c r="AU354" s="1640"/>
      <c r="AV354" s="1640"/>
      <c r="AW354" s="1640"/>
      <c r="AX354" s="1640"/>
      <c r="AY354" s="1640"/>
      <c r="AZ354" s="1640"/>
      <c r="BA354" s="1640"/>
      <c r="BB354" s="1640"/>
      <c r="BC354" s="1640"/>
      <c r="BD354" s="1640"/>
      <c r="BE354" s="1640"/>
      <c r="BF354" s="1640"/>
      <c r="BG354" s="1640"/>
      <c r="BH354" s="1640"/>
      <c r="BI354" s="1640"/>
      <c r="BJ354" s="1640"/>
      <c r="BK354" s="1640"/>
      <c r="BL354" s="1640"/>
      <c r="BM354" s="1640"/>
      <c r="BN354" s="1640"/>
      <c r="BO354" s="1640"/>
      <c r="BP354" s="1640"/>
      <c r="BQ354" s="1640"/>
      <c r="BR354" s="1640"/>
      <c r="BS354" s="1640"/>
      <c r="BT354" s="1640"/>
      <c r="BU354" s="1640"/>
      <c r="BV354" s="1640"/>
      <c r="BW354" s="1640"/>
      <c r="BX354" s="1640"/>
      <c r="BY354" s="1640"/>
      <c r="BZ354" s="1640"/>
      <c r="CA354" s="1640"/>
      <c r="CB354" s="1640"/>
      <c r="CC354" s="1640"/>
      <c r="CD354" s="1640"/>
      <c r="CE354" s="1640"/>
      <c r="CF354" s="1851"/>
    </row>
    <row customHeight="1" ht="11.25" hidden="1">
      <c r="A355" s="1809"/>
      <c r="B355" s="1164"/>
      <c r="C355" s="416"/>
      <c r="D355" s="2597"/>
      <c r="E355" s="653" t="s">
        <v>22</v>
      </c>
      <c r="F355" s="1172" t="s">
        <v>22</v>
      </c>
      <c r="G355" s="1172" t="s">
        <v>760</v>
      </c>
      <c r="H355" s="655" t="s">
        <v>22</v>
      </c>
      <c r="I355" s="655"/>
      <c r="J355" s="655"/>
      <c r="K355" s="655"/>
      <c r="L355" s="655"/>
      <c r="M355" s="655"/>
      <c r="N355" s="655"/>
      <c r="O355" s="655"/>
      <c r="P355" s="655"/>
      <c r="Q355" s="655"/>
      <c r="R355" s="656"/>
      <c r="S355" s="657"/>
      <c r="T355" s="722"/>
      <c r="U355" s="2391"/>
      <c r="V355" s="2391"/>
      <c r="W355" s="1164"/>
      <c r="X355" s="1164"/>
      <c r="Y355" s="1164"/>
      <c r="Z355" s="1164"/>
      <c r="AA355" s="1640"/>
      <c r="AB355" s="1164"/>
      <c r="AC355" s="1799"/>
      <c r="AD355" s="633"/>
      <c r="AE355" s="1164"/>
      <c r="AF355" s="1164"/>
      <c r="AG355" s="1640"/>
      <c r="AH355" s="1640"/>
      <c r="AI355" s="1640"/>
      <c r="AJ355" s="1640"/>
      <c r="AK355" s="1640"/>
      <c r="AL355" s="1640"/>
      <c r="AM355" s="1640"/>
      <c r="AN355" s="1640"/>
      <c r="AO355" s="1640"/>
      <c r="AP355" s="1640"/>
      <c r="AQ355" s="1640"/>
      <c r="AR355" s="1640"/>
      <c r="AS355" s="1640"/>
      <c r="AT355" s="1640"/>
      <c r="AU355" s="1640"/>
      <c r="AV355" s="1640"/>
      <c r="AW355" s="1640"/>
      <c r="AX355" s="1640"/>
      <c r="AY355" s="1640"/>
      <c r="AZ355" s="1640"/>
      <c r="BA355" s="1640"/>
      <c r="BB355" s="1640"/>
      <c r="BC355" s="1640"/>
      <c r="BD355" s="1640"/>
      <c r="BE355" s="1640"/>
      <c r="BF355" s="1640"/>
      <c r="BG355" s="1640"/>
      <c r="BH355" s="1640"/>
      <c r="BI355" s="1640"/>
      <c r="BJ355" s="1640"/>
      <c r="BK355" s="1640"/>
      <c r="BL355" s="1640"/>
      <c r="BM355" s="1640"/>
      <c r="BN355" s="1640"/>
      <c r="BO355" s="1640"/>
      <c r="BP355" s="1640"/>
      <c r="BQ355" s="1640"/>
      <c r="BR355" s="1640"/>
      <c r="BS355" s="1640"/>
      <c r="BT355" s="1640"/>
      <c r="BU355" s="1640"/>
      <c r="BV355" s="1164"/>
      <c r="BW355" s="1164"/>
      <c r="BX355" s="1164"/>
      <c r="BY355" s="1164"/>
      <c r="BZ355" s="1164"/>
      <c r="CA355" s="1164"/>
      <c r="CB355" s="1164"/>
      <c r="CC355" s="1164"/>
      <c r="CD355" s="1164"/>
      <c r="CE355" s="1164"/>
      <c r="CF355" s="1851"/>
    </row>
    <row customHeight="1" ht="15" hidden="1">
      <c r="A356" s="627" t="s">
        <v>264</v>
      </c>
      <c r="B356" s="628"/>
      <c r="C356" s="628" t="s">
        <v>22</v>
      </c>
      <c r="D356" s="2595" t="s">
        <v>797</v>
      </c>
      <c r="E356" s="2394" t="s">
        <v>173</v>
      </c>
      <c r="F356" s="2395"/>
      <c r="G356" s="2396"/>
      <c r="H356" s="2400" t="str">
        <f>IF(A356="","",INDEX(DIFFERENTIATION_UNMERGE_VD,MATCH(A356,DIFFERENTIATION_ID_DIFF,0)))</f>
        <v>Холодное водоснабжение. Подвозная вода</v>
      </c>
      <c r="I356" s="2400"/>
      <c r="J356" s="2400"/>
      <c r="K356" s="2400"/>
      <c r="L356" s="2400"/>
      <c r="M356" s="2400"/>
      <c r="N356" s="2400"/>
      <c r="O356" s="2400"/>
      <c r="P356" s="2400"/>
      <c r="Q356" s="2400"/>
      <c r="R356" s="2400"/>
      <c r="S356" s="723"/>
      <c r="T356" s="720"/>
      <c r="U356" s="629"/>
      <c r="V356" s="629"/>
      <c r="W356" s="630"/>
      <c r="X356" s="630"/>
      <c r="Y356" s="630"/>
      <c r="Z356" s="630"/>
      <c r="AA356" s="631"/>
      <c r="AB356" s="632"/>
      <c r="AC356" s="2392"/>
      <c r="AD356" s="633"/>
      <c r="AE356" s="634" t="s">
        <v>22</v>
      </c>
      <c r="AF356" s="634"/>
      <c r="AG356" s="635" t="s">
        <v>754</v>
      </c>
      <c r="AH356" s="636">
        <v>3</v>
      </c>
      <c r="AI356" s="629"/>
      <c r="AJ356" s="629"/>
      <c r="AK356" s="629"/>
      <c r="AL356" s="629"/>
      <c r="AM356" s="629"/>
      <c r="AN356" s="629"/>
      <c r="AO356" s="629"/>
      <c r="AP356" s="629"/>
      <c r="AQ356" s="629"/>
      <c r="AR356" s="629"/>
      <c r="AS356" s="629"/>
      <c r="AT356" s="629"/>
      <c r="AU356" s="629"/>
      <c r="AV356" s="629"/>
      <c r="AW356" s="629"/>
      <c r="AX356" s="629"/>
      <c r="AY356" s="629"/>
      <c r="AZ356" s="629"/>
      <c r="BA356" s="629"/>
      <c r="BB356" s="629"/>
      <c r="BC356" s="629"/>
      <c r="BD356" s="629"/>
      <c r="BE356" s="629"/>
      <c r="BF356" s="629"/>
      <c r="BG356" s="629"/>
      <c r="BH356" s="629"/>
      <c r="BI356" s="629"/>
      <c r="BJ356" s="629"/>
      <c r="BK356" s="629"/>
      <c r="BL356" s="629"/>
      <c r="BM356" s="629"/>
      <c r="BN356" s="629"/>
      <c r="BO356" s="629"/>
      <c r="BP356" s="629"/>
      <c r="BQ356" s="629"/>
      <c r="BR356" s="629"/>
      <c r="BS356" s="629"/>
      <c r="BT356" s="629"/>
      <c r="BU356" s="629"/>
      <c r="BV356" s="630"/>
      <c r="BW356" s="630"/>
      <c r="BX356" s="630"/>
      <c r="BY356" s="630"/>
      <c r="BZ356" s="630"/>
      <c r="CA356" s="630"/>
      <c r="CB356" s="630"/>
      <c r="CC356" s="630"/>
      <c r="CD356" s="630"/>
      <c r="CE356" s="630"/>
      <c r="CF356" s="1851"/>
    </row>
    <row customHeight="1" ht="15" hidden="1">
      <c r="A357" s="627"/>
      <c r="B357" s="628"/>
      <c r="C357" s="628"/>
      <c r="D357" s="2596"/>
      <c r="E357" s="2394" t="s">
        <v>702</v>
      </c>
      <c r="F357" s="2395"/>
      <c r="G357" s="2396"/>
      <c r="H357" s="2400" t="str">
        <f>IF(A356="","",INDEX(DIFFERENTIATION_UNMERGE_AREA,MATCH(A356,DIFFERENTIATION_ID_DIFF,0)))</f>
        <v>Территория 6</v>
      </c>
      <c r="I357" s="2400"/>
      <c r="J357" s="2400"/>
      <c r="K357" s="2400"/>
      <c r="L357" s="2400"/>
      <c r="M357" s="2400"/>
      <c r="N357" s="2400"/>
      <c r="O357" s="2400"/>
      <c r="P357" s="2400"/>
      <c r="Q357" s="2400"/>
      <c r="R357" s="2400"/>
      <c r="S357" s="723"/>
      <c r="T357" s="720"/>
      <c r="U357" s="629"/>
      <c r="V357" s="629"/>
      <c r="W357" s="630"/>
      <c r="X357" s="630"/>
      <c r="Y357" s="630"/>
      <c r="Z357" s="630"/>
      <c r="AA357" s="631"/>
      <c r="AB357" s="632"/>
      <c r="AC357" s="2392"/>
      <c r="AD357" s="633"/>
      <c r="AE357" s="634"/>
      <c r="AF357" s="634"/>
      <c r="AG357" s="635"/>
      <c r="AH357" s="636"/>
      <c r="AI357" s="629"/>
      <c r="AJ357" s="629"/>
      <c r="AK357" s="629"/>
      <c r="AL357" s="629"/>
      <c r="AM357" s="629"/>
      <c r="AN357" s="629"/>
      <c r="AO357" s="629"/>
      <c r="AP357" s="629"/>
      <c r="AQ357" s="629"/>
      <c r="AR357" s="629"/>
      <c r="AS357" s="629"/>
      <c r="AT357" s="629"/>
      <c r="AU357" s="629"/>
      <c r="AV357" s="629"/>
      <c r="AW357" s="629"/>
      <c r="AX357" s="629"/>
      <c r="AY357" s="629"/>
      <c r="AZ357" s="629"/>
      <c r="BA357" s="629"/>
      <c r="BB357" s="629"/>
      <c r="BC357" s="629"/>
      <c r="BD357" s="629"/>
      <c r="BE357" s="629"/>
      <c r="BF357" s="629"/>
      <c r="BG357" s="629"/>
      <c r="BH357" s="629"/>
      <c r="BI357" s="629"/>
      <c r="BJ357" s="629"/>
      <c r="BK357" s="629"/>
      <c r="BL357" s="629"/>
      <c r="BM357" s="629"/>
      <c r="BN357" s="629"/>
      <c r="BO357" s="629"/>
      <c r="BP357" s="629"/>
      <c r="BQ357" s="629"/>
      <c r="BR357" s="629"/>
      <c r="BS357" s="629"/>
      <c r="BT357" s="629"/>
      <c r="BU357" s="629"/>
      <c r="BV357" s="630"/>
      <c r="BW357" s="630"/>
      <c r="BX357" s="630"/>
      <c r="BY357" s="630"/>
      <c r="BZ357" s="630"/>
      <c r="CA357" s="630"/>
      <c r="CB357" s="630"/>
      <c r="CC357" s="630"/>
      <c r="CD357" s="630"/>
      <c r="CE357" s="630"/>
      <c r="CF357" s="1851"/>
    </row>
    <row customHeight="1" ht="15" hidden="1">
      <c r="A358" s="627"/>
      <c r="B358" s="628"/>
      <c r="C358" s="628"/>
      <c r="D358" s="2596"/>
      <c r="E358" s="2394" t="s">
        <v>703</v>
      </c>
      <c r="F358" s="2395"/>
      <c r="G358" s="2396"/>
      <c r="H358" s="2400" t="str">
        <f>IF(A356="","",INDEX(DIFFERENTIATION_UNMERGE_SYSTEM,MATCH(A356,DIFFERENTIATION_ID_DIFF,0)))</f>
        <v> Дальнегорский городской округ, Дальнегорский городской округ (05707000)</v>
      </c>
      <c r="I358" s="2400"/>
      <c r="J358" s="2400"/>
      <c r="K358" s="2400"/>
      <c r="L358" s="2400"/>
      <c r="M358" s="2400"/>
      <c r="N358" s="2400"/>
      <c r="O358" s="2400"/>
      <c r="P358" s="2400"/>
      <c r="Q358" s="2400"/>
      <c r="R358" s="2400"/>
      <c r="S358" s="723"/>
      <c r="T358" s="720"/>
      <c r="U358" s="629"/>
      <c r="V358" s="629"/>
      <c r="W358" s="630"/>
      <c r="X358" s="630"/>
      <c r="Y358" s="630"/>
      <c r="Z358" s="630"/>
      <c r="AA358" s="631"/>
      <c r="AB358" s="632"/>
      <c r="AC358" s="2392"/>
      <c r="AD358" s="633"/>
      <c r="AE358" s="634"/>
      <c r="AF358" s="634"/>
      <c r="AG358" s="635"/>
      <c r="AH358" s="636"/>
      <c r="AI358" s="629"/>
      <c r="AJ358" s="629"/>
      <c r="AK358" s="629"/>
      <c r="AL358" s="629"/>
      <c r="AM358" s="629"/>
      <c r="AN358" s="629"/>
      <c r="AO358" s="629"/>
      <c r="AP358" s="629"/>
      <c r="AQ358" s="629"/>
      <c r="AR358" s="629"/>
      <c r="AS358" s="629"/>
      <c r="AT358" s="629"/>
      <c r="AU358" s="629"/>
      <c r="AV358" s="629"/>
      <c r="AW358" s="629"/>
      <c r="AX358" s="629"/>
      <c r="AY358" s="629"/>
      <c r="AZ358" s="629"/>
      <c r="BA358" s="629"/>
      <c r="BB358" s="629"/>
      <c r="BC358" s="629"/>
      <c r="BD358" s="629"/>
      <c r="BE358" s="629"/>
      <c r="BF358" s="629"/>
      <c r="BG358" s="629"/>
      <c r="BH358" s="629"/>
      <c r="BI358" s="629"/>
      <c r="BJ358" s="629"/>
      <c r="BK358" s="629"/>
      <c r="BL358" s="629"/>
      <c r="BM358" s="629"/>
      <c r="BN358" s="629"/>
      <c r="BO358" s="629"/>
      <c r="BP358" s="629"/>
      <c r="BQ358" s="629"/>
      <c r="BR358" s="629"/>
      <c r="BS358" s="629"/>
      <c r="BT358" s="629"/>
      <c r="BU358" s="629"/>
      <c r="BV358" s="630"/>
      <c r="BW358" s="630"/>
      <c r="BX358" s="630"/>
      <c r="BY358" s="630"/>
      <c r="BZ358" s="630"/>
      <c r="CA358" s="630"/>
      <c r="CB358" s="630"/>
      <c r="CC358" s="630"/>
      <c r="CD358" s="630"/>
      <c r="CE358" s="630"/>
      <c r="CF358" s="1851"/>
    </row>
    <row customHeight="1" ht="24.75" hidden="1">
      <c r="A359" s="1809"/>
      <c r="B359" s="1164"/>
      <c r="C359" s="416"/>
      <c r="D359" s="2596"/>
      <c r="E359" s="2393" t="s">
        <v>755</v>
      </c>
      <c r="F359" s="2393"/>
      <c r="G359" s="2393"/>
      <c r="H359" s="2393"/>
      <c r="I359" s="2393"/>
      <c r="J359" s="2393"/>
      <c r="K359" s="2393"/>
      <c r="L359" s="2393"/>
      <c r="M359" s="2393"/>
      <c r="N359" s="2393"/>
      <c r="O359" s="2393"/>
      <c r="P359" s="2393"/>
      <c r="Q359" s="562">
        <f>SUMIF(T360:T361,"i",Q360:Q361)</f>
        <v>0</v>
      </c>
      <c r="R359" s="1021"/>
      <c r="S359" s="1801" t="s">
        <v>756</v>
      </c>
      <c r="T359" s="721" t="s">
        <v>757</v>
      </c>
      <c r="U359" s="2391">
        <v>1</v>
      </c>
      <c r="V359" s="2391" t="str">
        <f>INDEX(B_FHD_FLAG_INDEX_1,1,MATCH(A356,B_FHD_FLAG_DIFFERENTIATION,0))</f>
        <v>отсутствует</v>
      </c>
      <c r="W359" s="1164"/>
      <c r="X359" s="1164"/>
      <c r="Y359" s="1164"/>
      <c r="Z359" s="1164"/>
      <c r="AA359" s="1640"/>
      <c r="AB359" s="1164"/>
      <c r="AC359" s="2392"/>
      <c r="AD359" s="633"/>
      <c r="AE359" s="1164"/>
      <c r="AF359" s="1164"/>
      <c r="AG359" s="1640"/>
      <c r="AH359" s="1640"/>
      <c r="AI359" s="1640"/>
      <c r="AJ359" s="1640"/>
      <c r="AK359" s="1640"/>
      <c r="AL359" s="1640"/>
      <c r="AM359" s="1640"/>
      <c r="AN359" s="1640"/>
      <c r="AO359" s="1640"/>
      <c r="AP359" s="1640"/>
      <c r="AQ359" s="1640"/>
      <c r="AR359" s="1640"/>
      <c r="AS359" s="1640"/>
      <c r="AT359" s="1640"/>
      <c r="AU359" s="1640"/>
      <c r="AV359" s="1640"/>
      <c r="AW359" s="1640"/>
      <c r="AX359" s="1640"/>
      <c r="AY359" s="1640"/>
      <c r="AZ359" s="1640"/>
      <c r="BA359" s="1640"/>
      <c r="BB359" s="1640"/>
      <c r="BC359" s="1640"/>
      <c r="BD359" s="1640"/>
      <c r="BE359" s="1640"/>
      <c r="BF359" s="1640"/>
      <c r="BG359" s="1640"/>
      <c r="BH359" s="1640"/>
      <c r="BI359" s="1640"/>
      <c r="BJ359" s="1640"/>
      <c r="BK359" s="1640"/>
      <c r="BL359" s="1640"/>
      <c r="BM359" s="1640"/>
      <c r="BN359" s="1640"/>
      <c r="BO359" s="1640"/>
      <c r="BP359" s="1640"/>
      <c r="BQ359" s="1640"/>
      <c r="BR359" s="1640"/>
      <c r="BS359" s="1640"/>
      <c r="BT359" s="1640"/>
      <c r="BU359" s="1640"/>
      <c r="BV359" s="1164"/>
      <c r="BW359" s="1164"/>
      <c r="BX359" s="1164"/>
      <c r="BY359" s="1164"/>
      <c r="BZ359" s="1164"/>
      <c r="CA359" s="1164"/>
      <c r="CB359" s="1164"/>
      <c r="CC359" s="1164"/>
      <c r="CD359" s="1164"/>
      <c r="CE359" s="1164"/>
      <c r="CF359" s="1851"/>
    </row>
    <row customHeight="1" ht="11.25" hidden="1">
      <c r="A360" s="1796"/>
      <c r="B360" s="1640"/>
      <c r="C360" s="1640"/>
      <c r="D360" s="2596"/>
      <c r="E360" s="639"/>
      <c r="F360" s="639">
        <v>0</v>
      </c>
      <c r="G360" s="639"/>
      <c r="H360" s="639"/>
      <c r="I360" s="639"/>
      <c r="J360" s="639"/>
      <c r="K360" s="639"/>
      <c r="L360" s="639"/>
      <c r="M360" s="639"/>
      <c r="N360" s="639"/>
      <c r="O360" s="639"/>
      <c r="P360" s="639"/>
      <c r="Q360" s="639"/>
      <c r="R360" s="639"/>
      <c r="S360" s="640"/>
      <c r="T360" s="722"/>
      <c r="U360" s="2391"/>
      <c r="V360" s="2391"/>
      <c r="W360" s="1640"/>
      <c r="X360" s="1640"/>
      <c r="Y360" s="1640"/>
      <c r="Z360" s="1640"/>
      <c r="AA360" s="1640"/>
      <c r="AB360" s="1164"/>
      <c r="AC360" s="2392"/>
      <c r="AD360" s="633"/>
      <c r="AE360" s="1164"/>
      <c r="AF360" s="1164"/>
      <c r="AG360" s="1640"/>
      <c r="AH360" s="1640"/>
      <c r="AI360" s="1640"/>
      <c r="AJ360" s="1640"/>
      <c r="AK360" s="1640"/>
      <c r="AL360" s="1640"/>
      <c r="AM360" s="1640"/>
      <c r="AN360" s="1640"/>
      <c r="AO360" s="1640"/>
      <c r="AP360" s="1640"/>
      <c r="AQ360" s="1640"/>
      <c r="AR360" s="1640"/>
      <c r="AS360" s="1640"/>
      <c r="AT360" s="1640"/>
      <c r="AU360" s="1640"/>
      <c r="AV360" s="1640"/>
      <c r="AW360" s="1640"/>
      <c r="AX360" s="1640"/>
      <c r="AY360" s="1640"/>
      <c r="AZ360" s="1640"/>
      <c r="BA360" s="1640"/>
      <c r="BB360" s="1640"/>
      <c r="BC360" s="1640"/>
      <c r="BD360" s="1640"/>
      <c r="BE360" s="1640"/>
      <c r="BF360" s="1640"/>
      <c r="BG360" s="1640"/>
      <c r="BH360" s="1640"/>
      <c r="BI360" s="1640"/>
      <c r="BJ360" s="1640"/>
      <c r="BK360" s="1640"/>
      <c r="BL360" s="1640"/>
      <c r="BM360" s="1640"/>
      <c r="BN360" s="1640"/>
      <c r="BO360" s="1640"/>
      <c r="BP360" s="1640"/>
      <c r="BQ360" s="1640"/>
      <c r="BR360" s="1640"/>
      <c r="BS360" s="1640"/>
      <c r="BT360" s="1640"/>
      <c r="BU360" s="1640"/>
      <c r="BV360" s="1640"/>
      <c r="BW360" s="1640"/>
      <c r="BX360" s="1640"/>
      <c r="BY360" s="1640"/>
      <c r="BZ360" s="1640"/>
      <c r="CA360" s="1640"/>
      <c r="CB360" s="1640"/>
      <c r="CC360" s="1640"/>
      <c r="CD360" s="1640"/>
      <c r="CE360" s="1640"/>
      <c r="CF360" s="1851"/>
    </row>
    <row customHeight="1" ht="11.25" hidden="1">
      <c r="A361" s="1809"/>
      <c r="B361" s="1164"/>
      <c r="C361" s="416"/>
      <c r="D361" s="2596"/>
      <c r="E361" s="653" t="s">
        <v>22</v>
      </c>
      <c r="F361" s="1172" t="s">
        <v>22</v>
      </c>
      <c r="G361" s="1172" t="s">
        <v>760</v>
      </c>
      <c r="H361" s="655" t="s">
        <v>22</v>
      </c>
      <c r="I361" s="655"/>
      <c r="J361" s="655"/>
      <c r="K361" s="655"/>
      <c r="L361" s="655"/>
      <c r="M361" s="655"/>
      <c r="N361" s="655"/>
      <c r="O361" s="655"/>
      <c r="P361" s="655"/>
      <c r="Q361" s="655"/>
      <c r="R361" s="656"/>
      <c r="S361" s="657"/>
      <c r="T361" s="722"/>
      <c r="U361" s="2391"/>
      <c r="V361" s="2391"/>
      <c r="W361" s="1164"/>
      <c r="X361" s="1164"/>
      <c r="Y361" s="1164"/>
      <c r="Z361" s="1164"/>
      <c r="AA361" s="1640"/>
      <c r="AB361" s="1164"/>
      <c r="AC361" s="2392"/>
      <c r="AD361" s="633"/>
      <c r="AE361" s="1164"/>
      <c r="AF361" s="1164"/>
      <c r="AG361" s="1640"/>
      <c r="AH361" s="1640"/>
      <c r="AI361" s="1640"/>
      <c r="AJ361" s="1640"/>
      <c r="AK361" s="1640"/>
      <c r="AL361" s="1640"/>
      <c r="AM361" s="1640"/>
      <c r="AN361" s="1640"/>
      <c r="AO361" s="1640"/>
      <c r="AP361" s="1640"/>
      <c r="AQ361" s="1640"/>
      <c r="AR361" s="1640"/>
      <c r="AS361" s="1640"/>
      <c r="AT361" s="1640"/>
      <c r="AU361" s="1640"/>
      <c r="AV361" s="1640"/>
      <c r="AW361" s="1640"/>
      <c r="AX361" s="1640"/>
      <c r="AY361" s="1640"/>
      <c r="AZ361" s="1640"/>
      <c r="BA361" s="1640"/>
      <c r="BB361" s="1640"/>
      <c r="BC361" s="1640"/>
      <c r="BD361" s="1640"/>
      <c r="BE361" s="1640"/>
      <c r="BF361" s="1640"/>
      <c r="BG361" s="1640"/>
      <c r="BH361" s="1640"/>
      <c r="BI361" s="1640"/>
      <c r="BJ361" s="1640"/>
      <c r="BK361" s="1640"/>
      <c r="BL361" s="1640"/>
      <c r="BM361" s="1640"/>
      <c r="BN361" s="1640"/>
      <c r="BO361" s="1640"/>
      <c r="BP361" s="1640"/>
      <c r="BQ361" s="1640"/>
      <c r="BR361" s="1640"/>
      <c r="BS361" s="1640"/>
      <c r="BT361" s="1640"/>
      <c r="BU361" s="1640"/>
      <c r="BV361" s="1164"/>
      <c r="BW361" s="1164"/>
      <c r="BX361" s="1164"/>
      <c r="BY361" s="1164"/>
      <c r="BZ361" s="1164"/>
      <c r="CA361" s="1164"/>
      <c r="CB361" s="1164"/>
      <c r="CC361" s="1164"/>
      <c r="CD361" s="1164"/>
      <c r="CE361" s="1164"/>
      <c r="CF361" s="1851"/>
    </row>
    <row customHeight="1" ht="24.75" hidden="1">
      <c r="A362" s="1809"/>
      <c r="B362" s="1164"/>
      <c r="C362" s="416"/>
      <c r="D362" s="2596"/>
      <c r="E362" s="2393" t="s">
        <v>758</v>
      </c>
      <c r="F362" s="2393"/>
      <c r="G362" s="2393"/>
      <c r="H362" s="2393"/>
      <c r="I362" s="2393"/>
      <c r="J362" s="2393"/>
      <c r="K362" s="2393"/>
      <c r="L362" s="2393"/>
      <c r="M362" s="2393"/>
      <c r="N362" s="2393"/>
      <c r="O362" s="2393"/>
      <c r="P362" s="2393"/>
      <c r="Q362" s="562">
        <f>SUMIF(T363:T364,"i",Q363:Q364)</f>
        <v>0</v>
      </c>
      <c r="R362" s="1021"/>
      <c r="S362" s="1801" t="s">
        <v>759</v>
      </c>
      <c r="T362" s="721" t="s">
        <v>757</v>
      </c>
      <c r="U362" s="2391">
        <v>1</v>
      </c>
      <c r="V362" s="2391" t="str">
        <f>INDEX(B_FHD_FLAG_INDEX_2,1,MATCH(A356,B_FHD_FLAG_DIFFERENTIATION,0))</f>
        <v>отсутствует</v>
      </c>
      <c r="W362" s="1164"/>
      <c r="X362" s="1164"/>
      <c r="Y362" s="1164"/>
      <c r="Z362" s="1164"/>
      <c r="AA362" s="1640"/>
      <c r="AB362" s="1164"/>
      <c r="AC362" s="1799"/>
      <c r="AD362" s="633"/>
      <c r="AE362" s="1164"/>
      <c r="AF362" s="1164"/>
      <c r="AG362" s="1640"/>
      <c r="AH362" s="1640"/>
      <c r="AI362" s="1640"/>
      <c r="AJ362" s="1640"/>
      <c r="AK362" s="1640"/>
      <c r="AL362" s="1640"/>
      <c r="AM362" s="1640"/>
      <c r="AN362" s="1640"/>
      <c r="AO362" s="1640"/>
      <c r="AP362" s="1640"/>
      <c r="AQ362" s="1640"/>
      <c r="AR362" s="1640"/>
      <c r="AS362" s="1640"/>
      <c r="AT362" s="1640"/>
      <c r="AU362" s="1640"/>
      <c r="AV362" s="1640"/>
      <c r="AW362" s="1640"/>
      <c r="AX362" s="1640"/>
      <c r="AY362" s="1640"/>
      <c r="AZ362" s="1640"/>
      <c r="BA362" s="1640"/>
      <c r="BB362" s="1640"/>
      <c r="BC362" s="1640"/>
      <c r="BD362" s="1640"/>
      <c r="BE362" s="1640"/>
      <c r="BF362" s="1640"/>
      <c r="BG362" s="1640"/>
      <c r="BH362" s="1640"/>
      <c r="BI362" s="1640"/>
      <c r="BJ362" s="1640"/>
      <c r="BK362" s="1640"/>
      <c r="BL362" s="1640"/>
      <c r="BM362" s="1640"/>
      <c r="BN362" s="1640"/>
      <c r="BO362" s="1640"/>
      <c r="BP362" s="1640"/>
      <c r="BQ362" s="1640"/>
      <c r="BR362" s="1640"/>
      <c r="BS362" s="1640"/>
      <c r="BT362" s="1640"/>
      <c r="BU362" s="1640"/>
      <c r="BV362" s="1164"/>
      <c r="BW362" s="1164"/>
      <c r="BX362" s="1164"/>
      <c r="BY362" s="1164"/>
      <c r="BZ362" s="1164"/>
      <c r="CA362" s="1164"/>
      <c r="CB362" s="1164"/>
      <c r="CC362" s="1164"/>
      <c r="CD362" s="1164"/>
      <c r="CE362" s="1164"/>
      <c r="CF362" s="1851"/>
    </row>
    <row customHeight="1" ht="11.25" hidden="1">
      <c r="A363" s="1796"/>
      <c r="B363" s="1640"/>
      <c r="C363" s="1640"/>
      <c r="D363" s="2596"/>
      <c r="E363" s="639"/>
      <c r="F363" s="639">
        <v>0</v>
      </c>
      <c r="G363" s="639"/>
      <c r="H363" s="639"/>
      <c r="I363" s="639"/>
      <c r="J363" s="639"/>
      <c r="K363" s="639"/>
      <c r="L363" s="639"/>
      <c r="M363" s="639"/>
      <c r="N363" s="639"/>
      <c r="O363" s="639"/>
      <c r="P363" s="639"/>
      <c r="Q363" s="639"/>
      <c r="R363" s="639"/>
      <c r="S363" s="640"/>
      <c r="T363" s="722"/>
      <c r="U363" s="2391"/>
      <c r="V363" s="2391"/>
      <c r="W363" s="1640"/>
      <c r="X363" s="1640"/>
      <c r="Y363" s="1640"/>
      <c r="Z363" s="1640"/>
      <c r="AA363" s="1640"/>
      <c r="AB363" s="1164"/>
      <c r="AC363" s="1799"/>
      <c r="AD363" s="633"/>
      <c r="AE363" s="1164"/>
      <c r="AF363" s="1164"/>
      <c r="AG363" s="1640"/>
      <c r="AH363" s="1640"/>
      <c r="AI363" s="1640"/>
      <c r="AJ363" s="1640"/>
      <c r="AK363" s="1640"/>
      <c r="AL363" s="1640"/>
      <c r="AM363" s="1640"/>
      <c r="AN363" s="1640"/>
      <c r="AO363" s="1640"/>
      <c r="AP363" s="1640"/>
      <c r="AQ363" s="1640"/>
      <c r="AR363" s="1640"/>
      <c r="AS363" s="1640"/>
      <c r="AT363" s="1640"/>
      <c r="AU363" s="1640"/>
      <c r="AV363" s="1640"/>
      <c r="AW363" s="1640"/>
      <c r="AX363" s="1640"/>
      <c r="AY363" s="1640"/>
      <c r="AZ363" s="1640"/>
      <c r="BA363" s="1640"/>
      <c r="BB363" s="1640"/>
      <c r="BC363" s="1640"/>
      <c r="BD363" s="1640"/>
      <c r="BE363" s="1640"/>
      <c r="BF363" s="1640"/>
      <c r="BG363" s="1640"/>
      <c r="BH363" s="1640"/>
      <c r="BI363" s="1640"/>
      <c r="BJ363" s="1640"/>
      <c r="BK363" s="1640"/>
      <c r="BL363" s="1640"/>
      <c r="BM363" s="1640"/>
      <c r="BN363" s="1640"/>
      <c r="BO363" s="1640"/>
      <c r="BP363" s="1640"/>
      <c r="BQ363" s="1640"/>
      <c r="BR363" s="1640"/>
      <c r="BS363" s="1640"/>
      <c r="BT363" s="1640"/>
      <c r="BU363" s="1640"/>
      <c r="BV363" s="1640"/>
      <c r="BW363" s="1640"/>
      <c r="BX363" s="1640"/>
      <c r="BY363" s="1640"/>
      <c r="BZ363" s="1640"/>
      <c r="CA363" s="1640"/>
      <c r="CB363" s="1640"/>
      <c r="CC363" s="1640"/>
      <c r="CD363" s="1640"/>
      <c r="CE363" s="1640"/>
      <c r="CF363" s="1851"/>
    </row>
    <row customHeight="1" ht="11.25" hidden="1">
      <c r="A364" s="1809"/>
      <c r="B364" s="1164"/>
      <c r="C364" s="416"/>
      <c r="D364" s="2597"/>
      <c r="E364" s="653" t="s">
        <v>22</v>
      </c>
      <c r="F364" s="1172" t="s">
        <v>22</v>
      </c>
      <c r="G364" s="1172" t="s">
        <v>760</v>
      </c>
      <c r="H364" s="655" t="s">
        <v>22</v>
      </c>
      <c r="I364" s="655"/>
      <c r="J364" s="655"/>
      <c r="K364" s="655"/>
      <c r="L364" s="655"/>
      <c r="M364" s="655"/>
      <c r="N364" s="655"/>
      <c r="O364" s="655"/>
      <c r="P364" s="655"/>
      <c r="Q364" s="655"/>
      <c r="R364" s="656"/>
      <c r="S364" s="657"/>
      <c r="T364" s="722"/>
      <c r="U364" s="2391"/>
      <c r="V364" s="2391"/>
      <c r="W364" s="1164"/>
      <c r="X364" s="1164"/>
      <c r="Y364" s="1164"/>
      <c r="Z364" s="1164"/>
      <c r="AA364" s="1640"/>
      <c r="AB364" s="1164"/>
      <c r="AC364" s="1799"/>
      <c r="AD364" s="633"/>
      <c r="AE364" s="1164"/>
      <c r="AF364" s="1164"/>
      <c r="AG364" s="1640"/>
      <c r="AH364" s="1640"/>
      <c r="AI364" s="1640"/>
      <c r="AJ364" s="1640"/>
      <c r="AK364" s="1640"/>
      <c r="AL364" s="1640"/>
      <c r="AM364" s="1640"/>
      <c r="AN364" s="1640"/>
      <c r="AO364" s="1640"/>
      <c r="AP364" s="1640"/>
      <c r="AQ364" s="1640"/>
      <c r="AR364" s="1640"/>
      <c r="AS364" s="1640"/>
      <c r="AT364" s="1640"/>
      <c r="AU364" s="1640"/>
      <c r="AV364" s="1640"/>
      <c r="AW364" s="1640"/>
      <c r="AX364" s="1640"/>
      <c r="AY364" s="1640"/>
      <c r="AZ364" s="1640"/>
      <c r="BA364" s="1640"/>
      <c r="BB364" s="1640"/>
      <c r="BC364" s="1640"/>
      <c r="BD364" s="1640"/>
      <c r="BE364" s="1640"/>
      <c r="BF364" s="1640"/>
      <c r="BG364" s="1640"/>
      <c r="BH364" s="1640"/>
      <c r="BI364" s="1640"/>
      <c r="BJ364" s="1640"/>
      <c r="BK364" s="1640"/>
      <c r="BL364" s="1640"/>
      <c r="BM364" s="1640"/>
      <c r="BN364" s="1640"/>
      <c r="BO364" s="1640"/>
      <c r="BP364" s="1640"/>
      <c r="BQ364" s="1640"/>
      <c r="BR364" s="1640"/>
      <c r="BS364" s="1640"/>
      <c r="BT364" s="1640"/>
      <c r="BU364" s="1640"/>
      <c r="BV364" s="1164"/>
      <c r="BW364" s="1164"/>
      <c r="BX364" s="1164"/>
      <c r="BY364" s="1164"/>
      <c r="BZ364" s="1164"/>
      <c r="CA364" s="1164"/>
      <c r="CB364" s="1164"/>
      <c r="CC364" s="1164"/>
      <c r="CD364" s="1164"/>
      <c r="CE364" s="1164"/>
      <c r="CF364" s="1851"/>
    </row>
    <row customHeight="1" ht="19.95">
      <c r="D365" s="1051"/>
      <c r="E365" s="1051"/>
      <c r="F365" s="1051"/>
      <c r="G365" s="1051"/>
      <c r="H365" s="1051"/>
      <c r="I365" s="1051"/>
      <c r="J365" s="1051"/>
      <c r="K365" s="1051"/>
      <c r="L365" s="1051"/>
      <c r="M365" s="1051"/>
      <c r="N365" s="1051"/>
      <c r="O365" s="1051"/>
      <c r="P365" s="1051"/>
      <c r="Q365" s="1051"/>
      <c r="R365" s="1051"/>
      <c r="S365" s="1051"/>
      <c r="T365" s="338"/>
      <c r="CF365" s="509">
        <v>19</v>
      </c>
    </row>
    <row customHeight="1" ht="11.549999999999999">
      <c r="D366" s="513"/>
      <c r="CF366" s="509">
        <v>11</v>
      </c>
    </row>
    <row customHeight="1" ht="11.549999999999999">
      <c r="D367" s="658"/>
      <c r="E367" s="658"/>
      <c r="F367" s="658"/>
      <c r="G367" s="659"/>
      <c r="CF367" s="509">
        <v>11</v>
      </c>
    </row>
    <row customHeight="1" ht="11.549999999999999">
      <c r="CF368" s="509">
        <v>11</v>
      </c>
    </row>
    <row customHeight="1" ht="11.549999999999999">
      <c r="D369" s="660"/>
      <c r="E369" s="2401"/>
      <c r="F369" s="2401"/>
      <c r="G369" s="2401"/>
      <c r="H369" s="2401"/>
      <c r="I369" s="2401"/>
      <c r="J369" s="2401"/>
      <c r="K369" s="2401"/>
      <c r="L369" s="2401"/>
      <c r="M369" s="2401"/>
      <c r="N369" s="2401"/>
      <c r="O369" s="2401"/>
      <c r="P369" s="2401"/>
      <c r="Q369" s="2401"/>
      <c r="R369" s="2401"/>
      <c r="CF369" s="509">
        <v>11</v>
      </c>
    </row>
    <row customHeight="1" ht="11.549999999999999">
      <c r="F370" s="762"/>
      <c r="G370" s="762"/>
      <c r="CF370" s="509">
        <v>11</v>
      </c>
    </row>
    <row customHeight="1" ht="11.25" hidden="1">
      <c r="A371" s="614" t="s">
        <v>81</v>
      </c>
      <c r="B371" s="453">
        <v>0</v>
      </c>
      <c r="C371" s="509">
        <v>3</v>
      </c>
      <c r="D371" s="509">
        <v>0</v>
      </c>
      <c r="E371" s="509">
        <v>7</v>
      </c>
      <c r="F371" s="509">
        <v>7</v>
      </c>
      <c r="G371" s="509">
        <v>29</v>
      </c>
      <c r="H371" s="509">
        <v>3</v>
      </c>
      <c r="I371" s="509">
        <v>5</v>
      </c>
      <c r="J371" s="509">
        <v>24</v>
      </c>
      <c r="K371" s="509">
        <v>24</v>
      </c>
      <c r="L371" s="509">
        <v>3</v>
      </c>
      <c r="M371" s="509">
        <v>6</v>
      </c>
      <c r="N371" s="509">
        <v>25</v>
      </c>
      <c r="O371" s="509">
        <v>18</v>
      </c>
      <c r="P371" s="509">
        <v>18</v>
      </c>
      <c r="Q371" s="509">
        <v>18</v>
      </c>
      <c r="R371" s="509">
        <v>18</v>
      </c>
      <c r="S371" s="509">
        <v>93</v>
      </c>
      <c r="T371" s="509">
        <v>10</v>
      </c>
      <c r="U371" s="615">
        <v>10</v>
      </c>
      <c r="V371" s="615">
        <v>11</v>
      </c>
      <c r="W371" s="616">
        <v>10</v>
      </c>
      <c r="X371" s="453">
        <v>10</v>
      </c>
      <c r="Y371" s="453">
        <v>10</v>
      </c>
      <c r="Z371" s="453">
        <v>10</v>
      </c>
      <c r="AA371" s="453">
        <v>10</v>
      </c>
      <c r="AB371" s="509">
        <v>8</v>
      </c>
      <c r="AC371" s="509">
        <v>8</v>
      </c>
      <c r="AD371" s="509">
        <v>8</v>
      </c>
      <c r="AE371" s="509">
        <v>8</v>
      </c>
      <c r="AF371" s="509">
        <v>8</v>
      </c>
      <c r="AG371" s="509">
        <v>8</v>
      </c>
      <c r="AH371" s="509">
        <v>8</v>
      </c>
      <c r="AI371" s="509">
        <v>8</v>
      </c>
      <c r="AJ371" s="509">
        <v>8</v>
      </c>
      <c r="AK371" s="509">
        <v>8</v>
      </c>
      <c r="AL371" s="509">
        <v>8</v>
      </c>
      <c r="AM371" s="509">
        <v>8</v>
      </c>
      <c r="AN371" s="509">
        <v>8</v>
      </c>
      <c r="AO371" s="509">
        <v>8</v>
      </c>
      <c r="AP371" s="509">
        <v>8</v>
      </c>
      <c r="AQ371" s="509">
        <v>8</v>
      </c>
      <c r="AR371" s="509">
        <v>8</v>
      </c>
      <c r="AS371" s="509">
        <v>8</v>
      </c>
      <c r="AT371" s="509">
        <v>8</v>
      </c>
      <c r="AU371" s="509">
        <v>8</v>
      </c>
      <c r="AV371" s="509">
        <v>8</v>
      </c>
      <c r="AW371" s="509">
        <v>8</v>
      </c>
      <c r="AX371" s="509">
        <v>8</v>
      </c>
      <c r="AY371" s="509">
        <v>8</v>
      </c>
      <c r="AZ371" s="509">
        <v>8</v>
      </c>
      <c r="BA371" s="509">
        <v>8</v>
      </c>
      <c r="BB371" s="509">
        <v>8</v>
      </c>
      <c r="BC371" s="509">
        <v>8</v>
      </c>
      <c r="BD371" s="509">
        <v>8</v>
      </c>
      <c r="BE371" s="509">
        <v>8</v>
      </c>
      <c r="BF371" s="509">
        <v>8</v>
      </c>
      <c r="BG371" s="509">
        <v>8</v>
      </c>
      <c r="BH371" s="509">
        <v>8</v>
      </c>
      <c r="BI371" s="509">
        <v>8</v>
      </c>
      <c r="BJ371" s="509">
        <v>8</v>
      </c>
      <c r="BK371" s="509">
        <v>8</v>
      </c>
      <c r="BL371" s="509">
        <v>8</v>
      </c>
      <c r="BM371" s="509">
        <v>8</v>
      </c>
      <c r="BN371" s="509">
        <v>8</v>
      </c>
      <c r="BO371" s="509">
        <v>8</v>
      </c>
      <c r="BP371" s="509">
        <v>8</v>
      </c>
      <c r="BQ371" s="509">
        <v>8</v>
      </c>
      <c r="BR371" s="509">
        <v>8</v>
      </c>
      <c r="BS371" s="509">
        <v>8</v>
      </c>
      <c r="BT371" s="509">
        <v>8</v>
      </c>
      <c r="BU371" s="509">
        <v>8</v>
      </c>
      <c r="BV371" s="509">
        <v>8</v>
      </c>
      <c r="BW371" s="509">
        <v>8</v>
      </c>
      <c r="BX371" s="509">
        <v>8</v>
      </c>
      <c r="BY371" s="509">
        <v>8</v>
      </c>
      <c r="BZ371" s="509">
        <v>8</v>
      </c>
      <c r="CA371" s="509">
        <v>8</v>
      </c>
      <c r="CB371" s="509">
        <v>8</v>
      </c>
      <c r="CC371" s="509">
        <v>8</v>
      </c>
      <c r="CD371" s="509">
        <v>8</v>
      </c>
      <c r="CE371" s="509">
        <v>8</v>
      </c>
      <c r="CF371" s="509">
        <v>11</v>
      </c>
    </row>
  </sheetData>
  <sheetProtection formatColumns="0" formatRows="0" autoFilter="0" sort="0" insertRows="0" insertColumns="1" deleteRows="0" deleteColumns="0"/>
  <mergeCells count="554">
    <mergeCell ref="E5:K5"/>
    <mergeCell ref="E6:K6"/>
    <mergeCell ref="E9:R9"/>
    <mergeCell ref="S9:S10"/>
    <mergeCell ref="E10:F10"/>
    <mergeCell ref="H10:I10"/>
    <mergeCell ref="L10:M10"/>
    <mergeCell ref="D14:D22"/>
    <mergeCell ref="H14:R14"/>
    <mergeCell ref="H15:R15"/>
    <mergeCell ref="H16:R16"/>
    <mergeCell ref="E369:R36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A1298-080B-09E3-0948-E1E7148138B8}" mc:Ignorable="x14ac xr xr2 xr3">
  <sheetPr>
    <tabColor theme="9" tint="-0.25"/>
  </sheetPr>
  <dimension ref="A1:BW204"/>
  <sheetViews>
    <sheetView showGridLines="0" zoomScale="90" workbookViewId="0">
      <pane xSplit="12" ySplit="14" topLeftCell="AY15" activePane="bottomRight" state="frozen"/>
      <selection pane="bottomLeft" activeCell="A15" sqref="A15"/>
      <selection pane="topRight" activeCell="M1" sqref="M1"/>
      <selection pane="bottomRight" activeCell="BB9" sqref="BB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51" style="1639" width="40.57421875" customWidth="1"/>
    <col min="52" max="52" style="1370" width="9.7109375" hidden="1" customWidth="1"/>
    <col min="53" max="53" style="1639" width="102.00390625" customWidth="1"/>
    <col min="54" max="54" style="1370" width="9.00390625" customWidth="1"/>
    <col min="55" max="55" style="1646" width="5.00390625" customWidth="1"/>
    <col min="56" max="56" style="1646" width="3.00390625" customWidth="1"/>
    <col min="57" max="60" style="1370" width="3.00390625" customWidth="1"/>
    <col min="61" max="61" style="1646" width="10.00390625" customWidth="1"/>
    <col min="62" max="62" style="1370" width="34.00390625" customWidth="1"/>
    <col min="63" max="63" style="1370" width="9.00390625" customWidth="1"/>
    <col min="64" max="64" style="740" width="8.00390625" customWidth="1"/>
    <col min="65" max="69" style="1370" width="8.00390625" customWidth="1"/>
    <col min="70" max="74" style="1636" width="8.00390625" customWidth="1"/>
    <col min="75" max="75"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t="s">
        <v>89</v>
      </c>
      <c r="AS1" s="1370" t="s">
        <v>89</v>
      </c>
      <c r="AT1" s="1370" t="s">
        <v>102</v>
      </c>
      <c r="AU1" s="1370" t="s">
        <v>105</v>
      </c>
      <c r="AV1" s="1370" t="s">
        <v>105</v>
      </c>
      <c r="AW1" s="1370" t="s">
        <v>105</v>
      </c>
      <c r="AX1" s="1370" t="s">
        <v>105</v>
      </c>
      <c r="AY1" s="1370" t="s">
        <v>105</v>
      </c>
      <c r="BC1" s="1640"/>
      <c r="BD1" s="1640"/>
      <c r="BI1" s="1640"/>
      <c r="BW1" s="1370" t="s">
        <v>14</v>
      </c>
    </row>
    <row s="1370" customFormat="1" customHeight="1" ht="78.75" hidden="1">
      <c r="A2" s="991"/>
      <c r="B2" s="2054" t="s">
        <v>798</v>
      </c>
      <c r="C2" s="2054" t="s">
        <v>799</v>
      </c>
      <c r="D2" s="2053" t="s">
        <v>800</v>
      </c>
      <c r="E2" s="2057">
        <f>RIGHT(I2,LEN(I2)-SEARCH("#",SUBSTITUTE(I2,".","#",LEN(I2)-LEN(SUBSTITUTE(I2,".","")))))</f>
      </c>
      <c r="F2" s="2059">
        <f>J2</f>
        <v>0</v>
      </c>
      <c r="G2" s="1640"/>
      <c r="H2" s="2060"/>
      <c r="I2" s="2050"/>
      <c r="J2" s="544"/>
      <c r="K2" s="2020" t="s">
        <v>694</v>
      </c>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547"/>
      <c r="BA2" s="1529" t="s">
        <v>695</v>
      </c>
      <c r="BB2" s="547"/>
      <c r="BC2" s="1640"/>
      <c r="BD2" s="1640"/>
      <c r="BI2" s="1640"/>
      <c r="BL2" s="548"/>
      <c r="BR2" s="1636"/>
      <c r="BS2" s="1636"/>
      <c r="BT2" s="1636"/>
      <c r="BU2" s="1636"/>
      <c r="BV2" s="1636"/>
      <c r="BW2" s="1370">
        <v>0</v>
      </c>
    </row>
    <row customHeight="1" ht="11.25" hidden="1">
      <c r="E3" s="2052" t="s">
        <v>801</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B3" s="1639">
        <f>0</f>
        <v>0</v>
      </c>
      <c r="AC3" s="1639">
        <f>0</f>
        <v>0</v>
      </c>
      <c r="AD3" s="1639">
        <f>0</f>
        <v>0</v>
      </c>
      <c r="AE3" s="1639">
        <f>0</f>
        <v>0</v>
      </c>
      <c r="AF3" s="1639">
        <f>0</f>
        <v>0</v>
      </c>
      <c r="AG3" s="1639">
        <f>0</f>
        <v>0</v>
      </c>
      <c r="AH3" s="1639">
        <f>0</f>
        <v>0</v>
      </c>
      <c r="AI3" s="1639">
        <f>0</f>
        <v>0</v>
      </c>
      <c r="AJ3" s="1639">
        <f>0</f>
        <v>0</v>
      </c>
      <c r="AK3" s="1639">
        <f>0</f>
        <v>0</v>
      </c>
      <c r="AL3" s="1639">
        <f>0</f>
        <v>0</v>
      </c>
      <c r="AM3" s="1639">
        <f>0</f>
        <v>0</v>
      </c>
      <c r="AN3" s="1639">
        <f>0</f>
        <v>0</v>
      </c>
      <c r="AO3" s="1639">
        <f>0</f>
        <v>0</v>
      </c>
      <c r="AP3" s="1639">
        <f>0</f>
        <v>0</v>
      </c>
      <c r="AQ3" s="1639">
        <f>0</f>
        <v>0</v>
      </c>
      <c r="AR3" s="1639">
        <f>0</f>
        <v>0</v>
      </c>
      <c r="AS3" s="1639">
        <f>0</f>
        <v>0</v>
      </c>
      <c r="AT3" s="1639">
        <f>0</f>
        <v>0</v>
      </c>
      <c r="AU3" s="1639">
        <f>0</f>
        <v>0</v>
      </c>
      <c r="AV3" s="1639">
        <f>0</f>
        <v>0</v>
      </c>
      <c r="AW3" s="1639">
        <f>0</f>
        <v>0</v>
      </c>
      <c r="AX3" s="1639">
        <f>0</f>
        <v>0</v>
      </c>
      <c r="AY3" s="1639">
        <f>0</f>
        <v>0</v>
      </c>
      <c r="BW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370"/>
      <c r="BA4" s="1636">
        <v>4</v>
      </c>
      <c r="BB4" s="1370"/>
      <c r="BC4" s="1640"/>
      <c r="BD4" s="1640"/>
      <c r="BE4" s="1370"/>
      <c r="BF4" s="1370"/>
      <c r="BG4" s="1370"/>
      <c r="BH4" s="1370"/>
      <c r="BI4" s="1640"/>
      <c r="BJ4" s="1370"/>
      <c r="BK4" s="1370"/>
      <c r="BL4" s="548"/>
      <c r="BM4" s="1370"/>
      <c r="BN4" s="1370"/>
      <c r="BO4" s="1370"/>
      <c r="BP4" s="1370"/>
      <c r="BQ4" s="1370"/>
      <c r="BW4" s="1636">
        <v>0</v>
      </c>
    </row>
    <row customHeight="1" ht="11.54999999999999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BW5" s="1635">
        <v>11</v>
      </c>
    </row>
    <row customHeight="1" ht="57.75">
      <c r="I6" s="2324" t="s">
        <v>802</v>
      </c>
      <c r="J6" s="2324"/>
      <c r="K6" s="2324"/>
      <c r="L6" s="2324"/>
      <c r="M6" s="2324"/>
      <c r="N6" s="2324"/>
      <c r="O6" s="2324"/>
      <c r="P6" s="2324"/>
      <c r="Q6" s="2324"/>
      <c r="R6" s="2324"/>
      <c r="S6" s="2324"/>
      <c r="T6" s="2324"/>
      <c r="U6" s="2324"/>
      <c r="V6" s="2324"/>
      <c r="W6" s="2324"/>
      <c r="X6" s="2324"/>
      <c r="Y6" s="2324"/>
      <c r="Z6" s="2324"/>
      <c r="AA6" s="2324"/>
      <c r="AB6" s="2324"/>
      <c r="AC6" s="2324"/>
      <c r="AD6" s="2324"/>
      <c r="AE6" s="2324"/>
      <c r="AF6" s="2324"/>
      <c r="AG6" s="2324"/>
      <c r="AH6" s="2324"/>
      <c r="AI6" s="2324"/>
      <c r="AJ6" s="2324"/>
      <c r="AK6" s="2324"/>
      <c r="AL6" s="2324"/>
      <c r="AM6" s="2324"/>
      <c r="AN6" s="2324"/>
      <c r="AO6" s="2324"/>
      <c r="AP6" s="2324"/>
      <c r="AQ6" s="2324"/>
      <c r="AR6" s="2324"/>
      <c r="AS6" s="2324"/>
      <c r="AT6" s="2324"/>
      <c r="AU6" s="2324"/>
      <c r="AV6" s="2324"/>
      <c r="AW6" s="2324"/>
      <c r="AX6" s="2324"/>
      <c r="AY6" s="2324"/>
      <c r="BA6" s="560"/>
      <c r="BW6" s="1635">
        <v>55</v>
      </c>
    </row>
    <row customHeight="1" ht="25.2">
      <c r="I7" s="2266" t="str">
        <f>IF(org=0,"Не определено",org)</f>
        <v>КГУП "Примтеплоэнерго"</v>
      </c>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c r="AG7" s="2266"/>
      <c r="AH7" s="2266"/>
      <c r="AI7" s="2266"/>
      <c r="AJ7" s="2266"/>
      <c r="AK7" s="2266"/>
      <c r="AL7" s="2266"/>
      <c r="AM7" s="2266"/>
      <c r="AN7" s="2266"/>
      <c r="AO7" s="2266"/>
      <c r="AP7" s="2266"/>
      <c r="AQ7" s="2266"/>
      <c r="AR7" s="2266"/>
      <c r="AS7" s="2266"/>
      <c r="AT7" s="2266"/>
      <c r="AU7" s="2266"/>
      <c r="AV7" s="2266"/>
      <c r="AW7" s="2266"/>
      <c r="AX7" s="2266"/>
      <c r="AY7" s="2266"/>
      <c r="BW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BW8" s="1635">
        <v>11</v>
      </c>
    </row>
    <row s="1646" customFormat="1" customHeight="1" ht="30" hidden="1">
      <c r="A9" s="1171"/>
      <c r="B9" s="1171"/>
      <c r="C9" s="1171"/>
      <c r="E9" s="1171"/>
      <c r="H9" s="1646"/>
      <c r="L9" s="893"/>
      <c r="M9" s="893" t="s">
        <v>182</v>
      </c>
      <c r="N9" s="893" t="s">
        <v>238</v>
      </c>
      <c r="O9" s="893" t="s">
        <v>250</v>
      </c>
      <c r="P9" s="893" t="s">
        <v>253</v>
      </c>
      <c r="Q9" s="893" t="s">
        <v>186</v>
      </c>
      <c r="R9" s="893" t="s">
        <v>188</v>
      </c>
      <c r="S9" s="893" t="s">
        <v>190</v>
      </c>
      <c r="T9" s="893" t="s">
        <v>192</v>
      </c>
      <c r="U9" s="893" t="s">
        <v>194</v>
      </c>
      <c r="V9" s="893" t="s">
        <v>196</v>
      </c>
      <c r="W9" s="893" t="s">
        <v>198</v>
      </c>
      <c r="X9" s="893" t="s">
        <v>201</v>
      </c>
      <c r="Y9" s="893" t="s">
        <v>203</v>
      </c>
      <c r="Z9" s="893" t="s">
        <v>207</v>
      </c>
      <c r="AA9" s="893" t="s">
        <v>211</v>
      </c>
      <c r="AB9" s="893" t="s">
        <v>213</v>
      </c>
      <c r="AC9" s="893" t="s">
        <v>215</v>
      </c>
      <c r="AD9" s="893" t="s">
        <v>217</v>
      </c>
      <c r="AE9" s="893" t="s">
        <v>225</v>
      </c>
      <c r="AF9" s="893" t="s">
        <v>229</v>
      </c>
      <c r="AG9" s="893" t="s">
        <v>231</v>
      </c>
      <c r="AH9" s="893" t="s">
        <v>235</v>
      </c>
      <c r="AI9" s="893" t="s">
        <v>205</v>
      </c>
      <c r="AJ9" s="893" t="s">
        <v>209</v>
      </c>
      <c r="AK9" s="893" t="s">
        <v>219</v>
      </c>
      <c r="AL9" s="893" t="s">
        <v>221</v>
      </c>
      <c r="AM9" s="893" t="s">
        <v>223</v>
      </c>
      <c r="AN9" s="893" t="s">
        <v>227</v>
      </c>
      <c r="AO9" s="893" t="s">
        <v>233</v>
      </c>
      <c r="AP9" s="893" t="s">
        <v>240</v>
      </c>
      <c r="AQ9" s="893" t="s">
        <v>242</v>
      </c>
      <c r="AR9" s="893" t="s">
        <v>244</v>
      </c>
      <c r="AS9" s="893" t="s">
        <v>246</v>
      </c>
      <c r="AT9" s="893" t="s">
        <v>248</v>
      </c>
      <c r="AU9" s="893" t="s">
        <v>256</v>
      </c>
      <c r="AV9" s="893" t="s">
        <v>258</v>
      </c>
      <c r="AW9" s="893" t="s">
        <v>260</v>
      </c>
      <c r="AX9" s="893" t="s">
        <v>262</v>
      </c>
      <c r="AY9" s="893" t="s">
        <v>264</v>
      </c>
      <c r="BW9" s="1640">
        <v>1</v>
      </c>
    </row>
    <row customHeight="1" ht="11.549999999999999">
      <c r="E10" s="2051" t="s">
        <v>803</v>
      </c>
      <c r="I10" s="715"/>
      <c r="J10" s="2384" t="s">
        <v>173</v>
      </c>
      <c r="K10" s="2385"/>
      <c r="L10" s="2030" t="str">
        <f>IF(L9="","",INDEX(DIFFERENTIATION_UNMERGE_VD,MATCH(L9,DIFFERENTIATION_ID_DIFF,0)))</f>
        <v/>
      </c>
      <c r="M10" s="2030" t="str">
        <f>IF(M9="","",INDEX(DIFFERENTIATION_UNMERGE_VD,MATCH(M9,DIFFERENTIATION_ID_DIFF,0)))</f>
        <v>Холодное водоснабжение. Питьевая вода</v>
      </c>
      <c r="N10" s="2410" t="str">
        <f>IF(N9="","",INDEX(DIFFERENTIATION_UNMERGE_VD,MATCH(N9,DIFFERENTIATION_ID_DIFF,0)))</f>
        <v>Подключение (технологическое присоединение) к централизованной системе водоснабжения</v>
      </c>
      <c r="O10" s="2410" t="str">
        <f>IF(O9="","",INDEX(DIFFERENTIATION_UNMERGE_VD,MATCH(O9,DIFFERENTIATION_ID_DIFF,0)))</f>
        <v>Холодное водоснабжение. Техническая вода</v>
      </c>
      <c r="P10" s="2410" t="str">
        <f>IF(P9="","",INDEX(DIFFERENTIATION_UNMERGE_VD,MATCH(P9,DIFFERENTIATION_ID_DIFF,0)))</f>
        <v>Холодное водоснабжение. Подвозная вода</v>
      </c>
      <c r="Q10" s="2410" t="str">
        <f>IF(Q9="","",INDEX(DIFFERENTIATION_UNMERGE_VD,MATCH(Q9,DIFFERENTIATION_ID_DIFF,0)))</f>
        <v>Холодное водоснабжение. Питьевая вода</v>
      </c>
      <c r="R10" s="2410" t="str">
        <f>IF(R9="","",INDEX(DIFFERENTIATION_UNMERGE_VD,MATCH(R9,DIFFERENTIATION_ID_DIFF,0)))</f>
        <v>Холодное водоснабжение. Питьевая вода</v>
      </c>
      <c r="S10" s="2410" t="str">
        <f>IF(S9="","",INDEX(DIFFERENTIATION_UNMERGE_VD,MATCH(S9,DIFFERENTIATION_ID_DIFF,0)))</f>
        <v>Холодное водоснабжение. Питьевая вода</v>
      </c>
      <c r="T10" s="2410" t="str">
        <f>IF(T9="","",INDEX(DIFFERENTIATION_UNMERGE_VD,MATCH(T9,DIFFERENTIATION_ID_DIFF,0)))</f>
        <v>Холодное водоснабжение. Питьевая вода</v>
      </c>
      <c r="U10" s="2410" t="str">
        <f>IF(U9="","",INDEX(DIFFERENTIATION_UNMERGE_VD,MATCH(U9,DIFFERENTIATION_ID_DIFF,0)))</f>
        <v>Холодное водоснабжение. Питьевая вода</v>
      </c>
      <c r="V10" s="2410" t="str">
        <f>IF(V9="","",INDEX(DIFFERENTIATION_UNMERGE_VD,MATCH(V9,DIFFERENTIATION_ID_DIFF,0)))</f>
        <v>Холодное водоснабжение. Питьевая вода</v>
      </c>
      <c r="W10" s="2410" t="str">
        <f>IF(W9="","",INDEX(DIFFERENTIATION_UNMERGE_VD,MATCH(W9,DIFFERENTIATION_ID_DIFF,0)))</f>
        <v>Холодное водоснабжение. Питьевая вода</v>
      </c>
      <c r="X10" s="2410" t="str">
        <f>IF(X9="","",INDEX(DIFFERENTIATION_UNMERGE_VD,MATCH(X9,DIFFERENTIATION_ID_DIFF,0)))</f>
        <v>Холодное водоснабжение. Питьевая вода</v>
      </c>
      <c r="Y10" s="2410" t="str">
        <f>IF(Y9="","",INDEX(DIFFERENTIATION_UNMERGE_VD,MATCH(Y9,DIFFERENTIATION_ID_DIFF,0)))</f>
        <v>Холодное водоснабжение. Питьевая вода</v>
      </c>
      <c r="Z10" s="2410" t="str">
        <f>IF(Z9="","",INDEX(DIFFERENTIATION_UNMERGE_VD,MATCH(Z9,DIFFERENTIATION_ID_DIFF,0)))</f>
        <v>Холодное водоснабжение. Питьевая вода</v>
      </c>
      <c r="AA10" s="2410" t="str">
        <f>IF(AA9="","",INDEX(DIFFERENTIATION_UNMERGE_VD,MATCH(AA9,DIFFERENTIATION_ID_DIFF,0)))</f>
        <v>Холодное водоснабжение. Питьевая вода</v>
      </c>
      <c r="AB10" s="2410" t="str">
        <f>IF(AB9="","",INDEX(DIFFERENTIATION_UNMERGE_VD,MATCH(AB9,DIFFERENTIATION_ID_DIFF,0)))</f>
        <v>Холодное водоснабжение. Питьевая вода</v>
      </c>
      <c r="AC10" s="2410" t="str">
        <f>IF(AC9="","",INDEX(DIFFERENTIATION_UNMERGE_VD,MATCH(AC9,DIFFERENTIATION_ID_DIFF,0)))</f>
        <v>Холодное водоснабжение. Питьевая вода</v>
      </c>
      <c r="AD10" s="2410" t="str">
        <f>IF(AD9="","",INDEX(DIFFERENTIATION_UNMERGE_VD,MATCH(AD9,DIFFERENTIATION_ID_DIFF,0)))</f>
        <v>Холодное водоснабжение. Питьевая вода</v>
      </c>
      <c r="AE10" s="2410" t="str">
        <f>IF(AE9="","",INDEX(DIFFERENTIATION_UNMERGE_VD,MATCH(AE9,DIFFERENTIATION_ID_DIFF,0)))</f>
        <v>Холодное водоснабжение. Питьевая вода</v>
      </c>
      <c r="AF10" s="2410" t="str">
        <f>IF(AF9="","",INDEX(DIFFERENTIATION_UNMERGE_VD,MATCH(AF9,DIFFERENTIATION_ID_DIFF,0)))</f>
        <v>Холодное водоснабжение. Питьевая вода</v>
      </c>
      <c r="AG10" s="2410" t="str">
        <f>IF(AG9="","",INDEX(DIFFERENTIATION_UNMERGE_VD,MATCH(AG9,DIFFERENTIATION_ID_DIFF,0)))</f>
        <v>Холодное водоснабжение. Питьевая вода</v>
      </c>
      <c r="AH10" s="2410" t="str">
        <f>IF(AH9="","",INDEX(DIFFERENTIATION_UNMERGE_VD,MATCH(AH9,DIFFERENTIATION_ID_DIFF,0)))</f>
        <v>Холодное водоснабжение. Питьевая вода</v>
      </c>
      <c r="AI10" s="2410" t="str">
        <f>IF(AI9="","",INDEX(DIFFERENTIATION_UNMERGE_VD,MATCH(AI9,DIFFERENTIATION_ID_DIFF,0)))</f>
        <v>Холодное водоснабжение. Питьевая вода</v>
      </c>
      <c r="AJ10" s="2410" t="str">
        <f>IF(AJ9="","",INDEX(DIFFERENTIATION_UNMERGE_VD,MATCH(AJ9,DIFFERENTIATION_ID_DIFF,0)))</f>
        <v>Холодное водоснабжение. Питьевая вода</v>
      </c>
      <c r="AK10" s="2410" t="str">
        <f>IF(AK9="","",INDEX(DIFFERENTIATION_UNMERGE_VD,MATCH(AK9,DIFFERENTIATION_ID_DIFF,0)))</f>
        <v>Холодное водоснабжение. Питьевая вода</v>
      </c>
      <c r="AL10" s="2410" t="str">
        <f>IF(AL9="","",INDEX(DIFFERENTIATION_UNMERGE_VD,MATCH(AL9,DIFFERENTIATION_ID_DIFF,0)))</f>
        <v>Холодное водоснабжение. Питьевая вода</v>
      </c>
      <c r="AM10" s="2410" t="str">
        <f>IF(AM9="","",INDEX(DIFFERENTIATION_UNMERGE_VD,MATCH(AM9,DIFFERENTIATION_ID_DIFF,0)))</f>
        <v>Холодное водоснабжение. Питьевая вода</v>
      </c>
      <c r="AN10" s="2410" t="str">
        <f>IF(AN9="","",INDEX(DIFFERENTIATION_UNMERGE_VD,MATCH(AN9,DIFFERENTIATION_ID_DIFF,0)))</f>
        <v>Холодное водоснабжение. Питьевая вода</v>
      </c>
      <c r="AO10" s="2410" t="str">
        <f>IF(AO9="","",INDEX(DIFFERENTIATION_UNMERGE_VD,MATCH(AO9,DIFFERENTIATION_ID_DIFF,0)))</f>
        <v>Холодное водоснабжение. Питьевая вода</v>
      </c>
      <c r="AP10" s="2410" t="str">
        <f>IF(AP9="","",INDEX(DIFFERENTIATION_UNMERGE_VD,MATCH(AP9,DIFFERENTIATION_ID_DIFF,0)))</f>
        <v>Подключение (технологическое присоединение) к централизованной системе водоснабжения</v>
      </c>
      <c r="AQ10" s="2410" t="str">
        <f>IF(AQ9="","",INDEX(DIFFERENTIATION_UNMERGE_VD,MATCH(AQ9,DIFFERENTIATION_ID_DIFF,0)))</f>
        <v>Подключение (технологическое присоединение) к централизованной системе водоснабжения</v>
      </c>
      <c r="AR10" s="2410" t="str">
        <f>IF(AR9="","",INDEX(DIFFERENTIATION_UNMERGE_VD,MATCH(AR9,DIFFERENTIATION_ID_DIFF,0)))</f>
        <v>Подключение (технологическое присоединение) к централизованной системе водоснабжения</v>
      </c>
      <c r="AS10" s="2410" t="str">
        <f>IF(AS9="","",INDEX(DIFFERENTIATION_UNMERGE_VD,MATCH(AS9,DIFFERENTIATION_ID_DIFF,0)))</f>
        <v>Подключение (технологическое присоединение) к централизованной системе водоснабжения</v>
      </c>
      <c r="AT10" s="2410" t="str">
        <f>IF(AT9="","",INDEX(DIFFERENTIATION_UNMERGE_VD,MATCH(AT9,DIFFERENTIATION_ID_DIFF,0)))</f>
        <v>Подключение (технологическое присоединение) к централизованной системе водоснабжения</v>
      </c>
      <c r="AU10" s="2410" t="str">
        <f>IF(AU9="","",INDEX(DIFFERENTIATION_UNMERGE_VD,MATCH(AU9,DIFFERENTIATION_ID_DIFF,0)))</f>
        <v>Холодное водоснабжение. Подвозная вода</v>
      </c>
      <c r="AV10" s="2410" t="str">
        <f>IF(AV9="","",INDEX(DIFFERENTIATION_UNMERGE_VD,MATCH(AV9,DIFFERENTIATION_ID_DIFF,0)))</f>
        <v>Холодное водоснабжение. Подвозная вода</v>
      </c>
      <c r="AW10" s="2410" t="str">
        <f>IF(AW9="","",INDEX(DIFFERENTIATION_UNMERGE_VD,MATCH(AW9,DIFFERENTIATION_ID_DIFF,0)))</f>
        <v>Холодное водоснабжение. Подвозная вода</v>
      </c>
      <c r="AX10" s="2410" t="str">
        <f>IF(AX9="","",INDEX(DIFFERENTIATION_UNMERGE_VD,MATCH(AX9,DIFFERENTIATION_ID_DIFF,0)))</f>
        <v>Холодное водоснабжение. Подвозная вода</v>
      </c>
      <c r="AY10" s="2410" t="str">
        <f>IF(AY9="","",INDEX(DIFFERENTIATION_UNMERGE_VD,MATCH(AY9,DIFFERENTIATION_ID_DIFF,0)))</f>
        <v>Холодное водоснабжение. Подвозная вода</v>
      </c>
      <c r="BA10" s="2144" t="s">
        <v>439</v>
      </c>
      <c r="BW10" s="1635">
        <v>11</v>
      </c>
    </row>
    <row customHeight="1" ht="11.549999999999999">
      <c r="E11" s="2051" t="s">
        <v>804</v>
      </c>
      <c r="I11" s="715"/>
      <c r="J11" s="2384" t="s">
        <v>702</v>
      </c>
      <c r="K11" s="2385"/>
      <c r="L11" s="2030" t="str">
        <f>IF(L9="","",INDEX(DIFFERENTIATION_UNMERGE_AREA,MATCH(L9,DIFFERENTIATION_ID_DIFF,0)))</f>
        <v/>
      </c>
      <c r="M11" s="2030" t="str">
        <f>IF(M9="","",INDEX(DIFFERENTIATION_UNMERGE_AREA,MATCH(M9,DIFFERENTIATION_ID_DIFF,0)))</f>
        <v>Территория 1</v>
      </c>
      <c r="N11" s="2410" t="str">
        <f>IF(N9="","",INDEX(DIFFERENTIATION_UNMERGE_AREA,MATCH(N9,DIFFERENTIATION_ID_DIFF,0)))</f>
        <v>Территория 8</v>
      </c>
      <c r="O11" s="2410" t="str">
        <f>IF(O9="","",INDEX(DIFFERENTIATION_UNMERGE_AREA,MATCH(O9,DIFFERENTIATION_ID_DIFF,0)))</f>
        <v>Территория 9</v>
      </c>
      <c r="P11" s="2410" t="str">
        <f>IF(P9="","",INDEX(DIFFERENTIATION_UNMERGE_AREA,MATCH(P9,DIFFERENTIATION_ID_DIFF,0)))</f>
        <v>Территория 2</v>
      </c>
      <c r="Q11" s="2410" t="str">
        <f>IF(Q9="","",INDEX(DIFFERENTIATION_UNMERGE_AREA,MATCH(Q9,DIFFERENTIATION_ID_DIFF,0)))</f>
        <v>Территория 1</v>
      </c>
      <c r="R11" s="2410" t="str">
        <f>IF(R9="","",INDEX(DIFFERENTIATION_UNMERGE_AREA,MATCH(R9,DIFFERENTIATION_ID_DIFF,0)))</f>
        <v>Территория 1</v>
      </c>
      <c r="S11" s="2410" t="str">
        <f>IF(S9="","",INDEX(DIFFERENTIATION_UNMERGE_AREA,MATCH(S9,DIFFERENTIATION_ID_DIFF,0)))</f>
        <v>Территория 1</v>
      </c>
      <c r="T11" s="2410" t="str">
        <f>IF(T9="","",INDEX(DIFFERENTIATION_UNMERGE_AREA,MATCH(T9,DIFFERENTIATION_ID_DIFF,0)))</f>
        <v>Территория 1</v>
      </c>
      <c r="U11" s="2410" t="str">
        <f>IF(U9="","",INDEX(DIFFERENTIATION_UNMERGE_AREA,MATCH(U9,DIFFERENTIATION_ID_DIFF,0)))</f>
        <v>Территория 1</v>
      </c>
      <c r="V11" s="2410" t="str">
        <f>IF(V9="","",INDEX(DIFFERENTIATION_UNMERGE_AREA,MATCH(V9,DIFFERENTIATION_ID_DIFF,0)))</f>
        <v>Территория 1</v>
      </c>
      <c r="W11" s="2410" t="str">
        <f>IF(W9="","",INDEX(DIFFERENTIATION_UNMERGE_AREA,MATCH(W9,DIFFERENTIATION_ID_DIFF,0)))</f>
        <v>Территория 1</v>
      </c>
      <c r="X11" s="2410" t="str">
        <f>IF(X9="","",INDEX(DIFFERENTIATION_UNMERGE_AREA,MATCH(X9,DIFFERENTIATION_ID_DIFF,0)))</f>
        <v>Территория 2</v>
      </c>
      <c r="Y11" s="2410" t="str">
        <f>IF(Y9="","",INDEX(DIFFERENTIATION_UNMERGE_AREA,MATCH(Y9,DIFFERENTIATION_ID_DIFF,0)))</f>
        <v>Территория 3</v>
      </c>
      <c r="Z11" s="2410" t="str">
        <f>IF(Z9="","",INDEX(DIFFERENTIATION_UNMERGE_AREA,MATCH(Z9,DIFFERENTIATION_ID_DIFF,0)))</f>
        <v>Территория 4</v>
      </c>
      <c r="AA11" s="2410" t="str">
        <f>IF(AA9="","",INDEX(DIFFERENTIATION_UNMERGE_AREA,MATCH(AA9,DIFFERENTIATION_ID_DIFF,0)))</f>
        <v>Территория 5</v>
      </c>
      <c r="AB11" s="2410" t="str">
        <f>IF(AB9="","",INDEX(DIFFERENTIATION_UNMERGE_AREA,MATCH(AB9,DIFFERENTIATION_ID_DIFF,0)))</f>
        <v>Территория 6</v>
      </c>
      <c r="AC11" s="2410" t="str">
        <f>IF(AC9="","",INDEX(DIFFERENTIATION_UNMERGE_AREA,MATCH(AC9,DIFFERENTIATION_ID_DIFF,0)))</f>
        <v>Территория 7</v>
      </c>
      <c r="AD11" s="2410" t="str">
        <f>IF(AD9="","",INDEX(DIFFERENTIATION_UNMERGE_AREA,MATCH(AD9,DIFFERENTIATION_ID_DIFF,0)))</f>
        <v>Территория 8</v>
      </c>
      <c r="AE11" s="2410" t="str">
        <f>IF(AE9="","",INDEX(DIFFERENTIATION_UNMERGE_AREA,MATCH(AE9,DIFFERENTIATION_ID_DIFF,0)))</f>
        <v>Территория 9</v>
      </c>
      <c r="AF11" s="2410" t="str">
        <f>IF(AF9="","",INDEX(DIFFERENTIATION_UNMERGE_AREA,MATCH(AF9,DIFFERENTIATION_ID_DIFF,0)))</f>
        <v>Территория 10</v>
      </c>
      <c r="AG11" s="2410" t="str">
        <f>IF(AG9="","",INDEX(DIFFERENTIATION_UNMERGE_AREA,MATCH(AG9,DIFFERENTIATION_ID_DIFF,0)))</f>
        <v>Территория 11</v>
      </c>
      <c r="AH11" s="2410" t="str">
        <f>IF(AH9="","",INDEX(DIFFERENTIATION_UNMERGE_AREA,MATCH(AH9,DIFFERENTIATION_ID_DIFF,0)))</f>
        <v>Территория 12</v>
      </c>
      <c r="AI11" s="2410" t="str">
        <f>IF(AI9="","",INDEX(DIFFERENTIATION_UNMERGE_AREA,MATCH(AI9,DIFFERENTIATION_ID_DIFF,0)))</f>
        <v>Территория 3</v>
      </c>
      <c r="AJ11" s="2410" t="str">
        <f>IF(AJ9="","",INDEX(DIFFERENTIATION_UNMERGE_AREA,MATCH(AJ9,DIFFERENTIATION_ID_DIFF,0)))</f>
        <v>Территория 4</v>
      </c>
      <c r="AK11" s="2410" t="str">
        <f>IF(AK9="","",INDEX(DIFFERENTIATION_UNMERGE_AREA,MATCH(AK9,DIFFERENTIATION_ID_DIFF,0)))</f>
        <v>Территория 8</v>
      </c>
      <c r="AL11" s="2410" t="str">
        <f>IF(AL9="","",INDEX(DIFFERENTIATION_UNMERGE_AREA,MATCH(AL9,DIFFERENTIATION_ID_DIFF,0)))</f>
        <v>Территория 8</v>
      </c>
      <c r="AM11" s="2410" t="str">
        <f>IF(AM9="","",INDEX(DIFFERENTIATION_UNMERGE_AREA,MATCH(AM9,DIFFERENTIATION_ID_DIFF,0)))</f>
        <v>Территория 8</v>
      </c>
      <c r="AN11" s="2410" t="str">
        <f>IF(AN9="","",INDEX(DIFFERENTIATION_UNMERGE_AREA,MATCH(AN9,DIFFERENTIATION_ID_DIFF,0)))</f>
        <v>Территория 9</v>
      </c>
      <c r="AO11" s="2410" t="str">
        <f>IF(AO9="","",INDEX(DIFFERENTIATION_UNMERGE_AREA,MATCH(AO9,DIFFERENTIATION_ID_DIFF,0)))</f>
        <v>Территория 11</v>
      </c>
      <c r="AP11" s="2410" t="str">
        <f>IF(AP9="","",INDEX(DIFFERENTIATION_UNMERGE_AREA,MATCH(AP9,DIFFERENTIATION_ID_DIFF,0)))</f>
        <v>Территория 9</v>
      </c>
      <c r="AQ11" s="2410" t="str">
        <f>IF(AQ9="","",INDEX(DIFFERENTIATION_UNMERGE_AREA,MATCH(AQ9,DIFFERENTIATION_ID_DIFF,0)))</f>
        <v>Территория 6</v>
      </c>
      <c r="AR11" s="2410" t="str">
        <f>IF(AR9="","",INDEX(DIFFERENTIATION_UNMERGE_AREA,MATCH(AR9,DIFFERENTIATION_ID_DIFF,0)))</f>
        <v>Территория 7</v>
      </c>
      <c r="AS11" s="2410" t="str">
        <f>IF(AS9="","",INDEX(DIFFERENTIATION_UNMERGE_AREA,MATCH(AS9,DIFFERENTIATION_ID_DIFF,0)))</f>
        <v>Территория 11</v>
      </c>
      <c r="AT11" s="2410" t="str">
        <f>IF(AT9="","",INDEX(DIFFERENTIATION_UNMERGE_AREA,MATCH(AT9,DIFFERENTIATION_ID_DIFF,0)))</f>
        <v>Территория 1</v>
      </c>
      <c r="AU11" s="2410" t="str">
        <f>IF(AU9="","",INDEX(DIFFERENTIATION_UNMERGE_AREA,MATCH(AU9,DIFFERENTIATION_ID_DIFF,0)))</f>
        <v>Территория 7</v>
      </c>
      <c r="AV11" s="2410" t="str">
        <f>IF(AV9="","",INDEX(DIFFERENTIATION_UNMERGE_AREA,MATCH(AV9,DIFFERENTIATION_ID_DIFF,0)))</f>
        <v>Территория 5</v>
      </c>
      <c r="AW11" s="2410" t="str">
        <f>IF(AW9="","",INDEX(DIFFERENTIATION_UNMERGE_AREA,MATCH(AW9,DIFFERENTIATION_ID_DIFF,0)))</f>
        <v>Территория 4</v>
      </c>
      <c r="AX11" s="2410" t="str">
        <f>IF(AX9="","",INDEX(DIFFERENTIATION_UNMERGE_AREA,MATCH(AX9,DIFFERENTIATION_ID_DIFF,0)))</f>
        <v>Территория 8</v>
      </c>
      <c r="AY11" s="2410" t="str">
        <f>IF(AY9="","",INDEX(DIFFERENTIATION_UNMERGE_AREA,MATCH(AY9,DIFFERENTIATION_ID_DIFF,0)))</f>
        <v>Территория 6</v>
      </c>
      <c r="BA11" s="2144"/>
      <c r="BW11" s="1635">
        <v>11</v>
      </c>
    </row>
    <row customHeight="1" ht="11.549999999999999">
      <c r="E12" s="2051" t="s">
        <v>805</v>
      </c>
      <c r="I12" s="1666"/>
      <c r="J12" s="2384" t="s">
        <v>703</v>
      </c>
      <c r="K12" s="2385"/>
      <c r="L12" s="2030" t="str">
        <f>IF(L9="","",INDEX(DIFFERENTIATION_UNMERGE_SYSTEM,MATCH(L9,DIFFERENTIATION_ID_DIFF,0)))</f>
        <v/>
      </c>
      <c r="M12" s="2030" t="str">
        <f>IF(M9="","",INDEX(DIFFERENTIATION_UNMERGE_SYSTEM,MATCH(M9,DIFFERENTIATION_ID_DIFF,0)))</f>
        <v>Централизованная система водоснабжения Барабашского сельского поселения</v>
      </c>
      <c r="N12" s="2410" t="str">
        <f>IF(N9="","",INDEX(DIFFERENTIATION_UNMERGE_SYSTEM,MATCH(N9,DIFFERENTIATION_ID_DIFF,0)))</f>
        <v>Черниговский МР</v>
      </c>
      <c r="O12" s="2410" t="str">
        <f>IF(O9="","",INDEX(DIFFERENTIATION_UNMERGE_SYSTEM,MATCH(O9,DIFFERENTIATION_ID_DIFF,0)))</f>
        <v> Городской округ Спасск-Дальний, Городской округ Спасск-Дальний (05720000)</v>
      </c>
      <c r="P12" s="2410" t="str">
        <f>IF(P9="","",INDEX(DIFFERENTIATION_UNMERGE_SYSTEM,MATCH(P9,DIFFERENTIATION_ID_DIFF,0)))</f>
        <v>Анучинский муниципальный округ, Анучинский муниципальный округ (05502000)</v>
      </c>
      <c r="Q12" s="2410" t="str">
        <f>IF(Q9="","",INDEX(DIFFERENTIATION_UNMERGE_SYSTEM,MATCH(Q9,DIFFERENTIATION_ID_DIFF,0)))</f>
        <v>Централизованная система водоснабжения Барабашского сельского поселения.Военный городок</v>
      </c>
      <c r="R12" s="2410" t="str">
        <f>IF(R9="","",INDEX(DIFFERENTIATION_UNMERGE_SYSTEM,MATCH(R9,DIFFERENTIATION_ID_DIFF,0)))</f>
        <v>Централизованная система водоснабжения Безверховского сельского поселения</v>
      </c>
      <c r="S12" s="2410" t="str">
        <f>IF(S9="","",INDEX(DIFFERENTIATION_UNMERGE_SYSTEM,MATCH(S9,DIFFERENTIATION_ID_DIFF,0)))</f>
        <v>Централизованная система водоснабжения Краскинского городского поселения</v>
      </c>
      <c r="T12" s="2410" t="str">
        <f>IF(T9="","",INDEX(DIFFERENTIATION_UNMERGE_SYSTEM,MATCH(T9,DIFFERENTIATION_ID_DIFF,0)))</f>
        <v>Централизованная система водоснабжения Посьетского городского поселения</v>
      </c>
      <c r="U12" s="2410" t="str">
        <f>IF(U9="","",INDEX(DIFFERENTIATION_UNMERGE_SYSTEM,MATCH(U9,DIFFERENTIATION_ID_DIFF,0)))</f>
        <v>Централизованная система водоснабжения Приморского городского поселения</v>
      </c>
      <c r="V12" s="2410" t="str">
        <f>IF(V9="","",INDEX(DIFFERENTIATION_UNMERGE_SYSTEM,MATCH(V9,DIFFERENTIATION_ID_DIFF,0)))</f>
        <v>Централизованная система водоснабжения пгт.Зарубино Хасанского муниципального округа</v>
      </c>
      <c r="W12" s="2410" t="str">
        <f>IF(W9="","",INDEX(DIFFERENTIATION_UNMERGE_SYSTEM,MATCH(W9,DIFFERENTIATION_ID_DIFF,0)))</f>
        <v>Централизованная система водоснабжения пгт. Хасан Хасанского муниципального округа</v>
      </c>
      <c r="X12" s="2410" t="str">
        <f>IF(X9="","",INDEX(DIFFERENTIATION_UNMERGE_SYSTEM,MATCH(X9,DIFFERENTIATION_ID_DIFF,0)))</f>
        <v>Централизованная система водоснабжения Анучинского сельского поселения</v>
      </c>
      <c r="Y12" s="2410" t="str">
        <f>IF(Y9="","",INDEX(DIFFERENTIATION_UNMERGE_SYSTEM,MATCH(Y9,DIFFERENTIATION_ID_DIFF,0)))</f>
        <v>Централизованная система водоснабжения Романовского сельского поселения</v>
      </c>
      <c r="Z12" s="2410" t="str">
        <f>IF(Z9="","",INDEX(DIFFERENTIATION_UNMERGE_SYSTEM,MATCH(Z9,DIFFERENTIATION_ID_DIFF,0)))</f>
        <v>Централизованная система водоснабжения городского округа ЗАТО город Фокино</v>
      </c>
      <c r="AA12" s="2410" t="str">
        <f>IF(AA9="","",INDEX(DIFFERENTIATION_UNMERGE_SYSTEM,MATCH(AA9,DIFFERENTIATION_ID_DIFF,0)))</f>
        <v>Централизованная система водоснабжения Новошахтинского городского поселения</v>
      </c>
      <c r="AB12" s="2410" t="str">
        <f>IF(AB9="","",INDEX(DIFFERENTIATION_UNMERGE_SYSTEM,MATCH(AB9,DIFFERENTIATION_ID_DIFF,0)))</f>
        <v>Централизованная система водоснабжения Дальнегорского городского округа</v>
      </c>
      <c r="AC12" s="2410" t="str">
        <f>IF(AC9="","",INDEX(DIFFERENTIATION_UNMERGE_SYSTEM,MATCH(AC9,DIFFERENTIATION_ID_DIFF,0)))</f>
        <v>Централизованная система водоснабжения Кавалеровского муниципального района</v>
      </c>
      <c r="AD12" s="2410" t="str">
        <f>IF(AD9="","",INDEX(DIFFERENTIATION_UNMERGE_SYSTEM,MATCH(AD9,DIFFERENTIATION_ID_DIFF,0)))</f>
        <v>Централизованная система водоснабжения Дмитриевского сельского поселения</v>
      </c>
      <c r="AE12" s="2410" t="str">
        <f>IF(AE9="","",INDEX(DIFFERENTIATION_UNMERGE_SYSTEM,MATCH(AE9,DIFFERENTIATION_ID_DIFF,0)))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F12" s="2410" t="str">
        <f>IF(AF9="","",INDEX(DIFFERENTIATION_UNMERGE_SYSTEM,MATCH(AF9,DIFFERENTIATION_ID_DIFF,0)))</f>
        <v>Централизованная система водоснабжения Глубинненского сельского поселения</v>
      </c>
      <c r="AG12" s="2410" t="str">
        <f>IF(AG9="","",INDEX(DIFFERENTIATION_UNMERGE_SYSTEM,MATCH(AG9,DIFFERENTIATION_ID_DIFF,0)))</f>
        <v>Централизованная система водоснабжения  Дальнереченского городского округа</v>
      </c>
      <c r="AH12" s="2410" t="str">
        <f>IF(AH9="","",INDEX(DIFFERENTIATION_UNMERGE_SYSTEM,MATCH(AH9,DIFFERENTIATION_ID_DIFF,0)))</f>
        <v>Централизованная истема водоснабжения Варфоломеевского сельского поселения (железнодорожная станция Варфоломеевка)</v>
      </c>
      <c r="AI12" s="2410" t="str">
        <f>IF(AI9="","",INDEX(DIFFERENTIATION_UNMERGE_SYSTEM,MATCH(AI9,DIFFERENTIATION_ID_DIFF,0)))</f>
        <v>Централизованная система водоснабжения Штыковского сельского поселения</v>
      </c>
      <c r="AJ12" s="2410" t="str">
        <f>IF(AJ9="","",INDEX(DIFFERENTIATION_UNMERGE_SYSTEM,MATCH(AJ9,DIFFERENTIATION_ID_DIFF,0)))</f>
        <v>Централизованная система водоснабжения городского округа ЗАТО город Фокино (п.Путятин)</v>
      </c>
      <c r="AK12" s="2410" t="str">
        <f>IF(AK9="","",INDEX(DIFFERENTIATION_UNMERGE_SYSTEM,MATCH(AK9,DIFFERENTIATION_ID_DIFF,0)))</f>
        <v>Централизованная система водоснабжения Реттиховского сельского поселения</v>
      </c>
      <c r="AL12" s="2410" t="str">
        <f>IF(AL9="","",INDEX(DIFFERENTIATION_UNMERGE_SYSTEM,MATCH(AL9,DIFFERENTIATION_ID_DIFF,0)))</f>
        <v>Централизованная система водоснабжения Снегуровского сельского поселения </v>
      </c>
      <c r="AM12" s="2410" t="str">
        <f>IF(AM9="","",INDEX(DIFFERENTIATION_UNMERGE_SYSTEM,MATCH(AM9,DIFFERENTIATION_ID_DIFF,0)))</f>
        <v>Централизованная система водоснабжения Черниговского сельского поселения</v>
      </c>
      <c r="AN12" s="2410" t="str">
        <f>IF(AN9="","",INDEX(DIFFERENTIATION_UNMERGE_SYSTEM,MATCH(AN9,DIFFERENTIATION_ID_DIFF,0)))</f>
        <v>Централизованная система водоснабжения городского округа Спасск-Дальний МКР Лазо</v>
      </c>
      <c r="AO12" s="2410" t="str">
        <f>IF(AO9="","",INDEX(DIFFERENTIATION_UNMERGE_SYSTEM,MATCH(AO9,DIFFERENTIATION_ID_DIFF,0)))</f>
        <v>Централизованная система водоснабжения  Дальнереченского городского округа (в.г.Графский)</v>
      </c>
      <c r="AP12" s="2410" t="str">
        <f>IF(AP9="","",INDEX(DIFFERENTIATION_UNMERGE_SYSTEM,MATCH(AP9,DIFFERENTIATION_ID_DIFF,0)))</f>
        <v>Городской округ Спасск-Дальний</v>
      </c>
      <c r="AQ12" s="2410" t="str">
        <f>IF(AQ9="","",INDEX(DIFFERENTIATION_UNMERGE_SYSTEM,MATCH(AQ9,DIFFERENTIATION_ID_DIFF,0)))</f>
        <v>Дальнегорский ГО</v>
      </c>
      <c r="AR12" s="2410" t="str">
        <f>IF(AR9="","",INDEX(DIFFERENTIATION_UNMERGE_SYSTEM,MATCH(AR9,DIFFERENTIATION_ID_DIFF,0)))</f>
        <v>Кавалеровский МО</v>
      </c>
      <c r="AS12" s="2410" t="str">
        <f>IF(AS9="","",INDEX(DIFFERENTIATION_UNMERGE_SYSTEM,MATCH(AS9,DIFFERENTIATION_ID_DIFF,0)))</f>
        <v>Дальнереченский ГО</v>
      </c>
      <c r="AT12" s="2410" t="str">
        <f>IF(AT9="","",INDEX(DIFFERENTIATION_UNMERGE_SYSTEM,MATCH(AT9,DIFFERENTIATION_ID_DIFF,0)))</f>
        <v>пгт Посьет Хасанский муниципальный округ</v>
      </c>
      <c r="AU12" s="2410" t="str">
        <f>IF(AU9="","",INDEX(DIFFERENTIATION_UNMERGE_SYSTEM,MATCH(AU9,DIFFERENTIATION_ID_DIFF,0)))</f>
        <v>Кавалеровский муниципальный район, Кавалеровкое городское поселение (05610151)</v>
      </c>
      <c r="AV12" s="2410" t="str">
        <f>IF(AV9="","",INDEX(DIFFERENTIATION_UNMERGE_SYSTEM,MATCH(AV9,DIFFERENTIATION_ID_DIFF,0)))</f>
        <v> Михайловский муниципальный район, Новошахтинское городское поселение (05620154)</v>
      </c>
      <c r="AW12" s="2410" t="str">
        <f>IF(AW9="","",INDEX(DIFFERENTIATION_UNMERGE_SYSTEM,MATCH(AW9,DIFFERENTIATION_ID_DIFF,0)))</f>
        <v>Городской округ ЗАТО г.Фокино (пгт. Путятин)</v>
      </c>
      <c r="AX12" s="2410" t="str">
        <f>IF(AX9="","",INDEX(DIFFERENTIATION_UNMERGE_SYSTEM,MATCH(AX9,DIFFERENTIATION_ID_DIFF,0)))</f>
        <v> Черниговский муниципальный район, Черниговское сельское поселение (05653425)</v>
      </c>
      <c r="AY12" s="2410" t="str">
        <f>IF(AY9="","",INDEX(DIFFERENTIATION_UNMERGE_SYSTEM,MATCH(AY9,DIFFERENTIATION_ID_DIFF,0)))</f>
        <v> Дальнегорский городской округ, Дальнегорский городской округ (05707000)</v>
      </c>
      <c r="BA12" s="2144"/>
      <c r="BW12" s="1635">
        <v>11</v>
      </c>
    </row>
    <row customHeight="1" ht="11.549999999999999">
      <c r="E13" s="2051" t="s">
        <v>806</v>
      </c>
      <c r="F13" s="2051" t="s">
        <v>807</v>
      </c>
      <c r="I13" s="2386" t="s">
        <v>438</v>
      </c>
      <c r="J13" s="2387"/>
      <c r="K13" s="2387"/>
      <c r="L13" s="2028"/>
      <c r="M13" s="2068"/>
      <c r="N13" s="2384"/>
      <c r="O13" s="2384"/>
      <c r="P13" s="2384"/>
      <c r="Q13" s="2384"/>
      <c r="R13" s="2384"/>
      <c r="S13" s="2384"/>
      <c r="T13" s="2384"/>
      <c r="U13" s="2384"/>
      <c r="V13" s="2384"/>
      <c r="W13" s="2384"/>
      <c r="X13" s="2384"/>
      <c r="Y13" s="2384"/>
      <c r="Z13" s="2384"/>
      <c r="AA13" s="2384"/>
      <c r="AB13" s="2384"/>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BA13" s="2144"/>
      <c r="BW13" s="1635">
        <v>11</v>
      </c>
    </row>
    <row customHeight="1" ht="24">
      <c r="I14" s="2021" t="s">
        <v>87</v>
      </c>
      <c r="J14" s="2021" t="s">
        <v>440</v>
      </c>
      <c r="K14" s="2021" t="s">
        <v>704</v>
      </c>
      <c r="L14" s="2061" t="s">
        <v>441</v>
      </c>
      <c r="M14" s="2062" t="s">
        <v>441</v>
      </c>
      <c r="N14" s="2279" t="s">
        <v>441</v>
      </c>
      <c r="O14" s="2279" t="s">
        <v>441</v>
      </c>
      <c r="P14" s="2279" t="s">
        <v>441</v>
      </c>
      <c r="Q14" s="2279" t="s">
        <v>441</v>
      </c>
      <c r="R14" s="2279" t="s">
        <v>441</v>
      </c>
      <c r="S14" s="2279" t="s">
        <v>441</v>
      </c>
      <c r="T14" s="2279" t="s">
        <v>441</v>
      </c>
      <c r="U14" s="2279" t="s">
        <v>441</v>
      </c>
      <c r="V14" s="2279" t="s">
        <v>441</v>
      </c>
      <c r="W14" s="2279" t="s">
        <v>441</v>
      </c>
      <c r="X14" s="2279" t="s">
        <v>441</v>
      </c>
      <c r="Y14" s="2279" t="s">
        <v>441</v>
      </c>
      <c r="Z14" s="2279" t="s">
        <v>441</v>
      </c>
      <c r="AA14" s="2279" t="s">
        <v>441</v>
      </c>
      <c r="AB14" s="2279" t="s">
        <v>441</v>
      </c>
      <c r="AC14" s="2279" t="s">
        <v>441</v>
      </c>
      <c r="AD14" s="2279" t="s">
        <v>441</v>
      </c>
      <c r="AE14" s="2279" t="s">
        <v>441</v>
      </c>
      <c r="AF14" s="2279" t="s">
        <v>441</v>
      </c>
      <c r="AG14" s="2279" t="s">
        <v>441</v>
      </c>
      <c r="AH14" s="2279" t="s">
        <v>441</v>
      </c>
      <c r="AI14" s="2279" t="s">
        <v>441</v>
      </c>
      <c r="AJ14" s="2279" t="s">
        <v>441</v>
      </c>
      <c r="AK14" s="2279" t="s">
        <v>441</v>
      </c>
      <c r="AL14" s="2279" t="s">
        <v>441</v>
      </c>
      <c r="AM14" s="2279" t="s">
        <v>441</v>
      </c>
      <c r="AN14" s="2279" t="s">
        <v>441</v>
      </c>
      <c r="AO14" s="2279" t="s">
        <v>441</v>
      </c>
      <c r="AP14" s="2279" t="s">
        <v>441</v>
      </c>
      <c r="AQ14" s="2279" t="s">
        <v>441</v>
      </c>
      <c r="AR14" s="2279" t="s">
        <v>441</v>
      </c>
      <c r="AS14" s="2279" t="s">
        <v>441</v>
      </c>
      <c r="AT14" s="2279" t="s">
        <v>441</v>
      </c>
      <c r="AU14" s="2279" t="s">
        <v>441</v>
      </c>
      <c r="AV14" s="2279" t="s">
        <v>441</v>
      </c>
      <c r="AW14" s="2279" t="s">
        <v>441</v>
      </c>
      <c r="AX14" s="2279" t="s">
        <v>441</v>
      </c>
      <c r="AY14" s="2279" t="s">
        <v>441</v>
      </c>
      <c r="BA14" s="2144"/>
      <c r="BW14" s="1635">
        <v>23</v>
      </c>
    </row>
    <row customHeight="1" ht="24">
      <c r="A15" s="2055"/>
      <c r="B15" s="2054" t="s">
        <v>808</v>
      </c>
      <c r="C15" s="2054" t="s">
        <v>809</v>
      </c>
      <c r="D15" s="2053" t="s">
        <v>810</v>
      </c>
      <c r="E15" s="2057" t="s">
        <v>811</v>
      </c>
      <c r="F15" s="2057" t="s">
        <v>811</v>
      </c>
      <c r="G15" s="1640" t="s">
        <v>724</v>
      </c>
      <c r="H15" s="2022"/>
      <c r="I15" s="1634">
        <v>1</v>
      </c>
      <c r="J15" s="2023" t="s">
        <v>812</v>
      </c>
      <c r="K15" s="2021" t="s">
        <v>444</v>
      </c>
      <c r="L15" s="666"/>
      <c r="M15" s="822"/>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547" t="s">
        <v>813</v>
      </c>
      <c r="BA15" s="1529" t="s">
        <v>814</v>
      </c>
      <c r="BB15" s="547" t="s">
        <v>813</v>
      </c>
      <c r="BW15" s="1635">
        <v>23</v>
      </c>
    </row>
    <row customHeight="1" ht="35.699999999999996">
      <c r="A16" s="2055"/>
      <c r="B16" s="2054" t="s">
        <v>815</v>
      </c>
      <c r="C16" s="2054" t="s">
        <v>816</v>
      </c>
      <c r="D16" s="2053" t="s">
        <v>800</v>
      </c>
      <c r="E16" s="2057" t="s">
        <v>811</v>
      </c>
      <c r="F16" s="2057" t="s">
        <v>811</v>
      </c>
      <c r="H16" s="2022"/>
      <c r="I16" s="1633">
        <v>2</v>
      </c>
      <c r="J16" s="2064" t="s">
        <v>817</v>
      </c>
      <c r="K16" s="2063" t="s">
        <v>694</v>
      </c>
      <c r="L16" s="2069"/>
      <c r="M16" s="1679"/>
      <c r="N16" s="2069"/>
      <c r="O16" s="2069"/>
      <c r="P16" s="2069"/>
      <c r="Q16" s="2069"/>
      <c r="R16" s="2069"/>
      <c r="S16" s="2069"/>
      <c r="T16" s="2069"/>
      <c r="U16" s="2069"/>
      <c r="V16" s="2069"/>
      <c r="W16" s="2069"/>
      <c r="X16" s="2069"/>
      <c r="Y16" s="2069"/>
      <c r="Z16" s="2069"/>
      <c r="AA16" s="2069"/>
      <c r="AB16" s="2069"/>
      <c r="AC16" s="2069"/>
      <c r="AD16" s="2069"/>
      <c r="AE16" s="2069"/>
      <c r="AF16" s="2069"/>
      <c r="AG16" s="2069"/>
      <c r="AH16" s="2069"/>
      <c r="AI16" s="2069"/>
      <c r="AJ16" s="2069"/>
      <c r="AK16" s="2069"/>
      <c r="AL16" s="2069"/>
      <c r="AM16" s="2069"/>
      <c r="AN16" s="2069"/>
      <c r="AO16" s="2069"/>
      <c r="AP16" s="2069"/>
      <c r="AQ16" s="2069"/>
      <c r="AR16" s="2069"/>
      <c r="AS16" s="2069"/>
      <c r="AT16" s="2069"/>
      <c r="AU16" s="2069"/>
      <c r="AV16" s="2069"/>
      <c r="AW16" s="2069"/>
      <c r="AX16" s="2069"/>
      <c r="AY16" s="2069"/>
      <c r="AZ16" s="547" t="s">
        <v>813</v>
      </c>
      <c r="BA16" s="1529" t="s">
        <v>818</v>
      </c>
      <c r="BB16" s="547" t="s">
        <v>813</v>
      </c>
      <c r="BW16" s="1635">
        <v>34</v>
      </c>
    </row>
    <row s="1646" customFormat="1" customHeight="1" ht="17.25" hidden="1">
      <c r="A17" s="1171"/>
      <c r="B17" s="1171"/>
      <c r="C17" s="1171"/>
      <c r="D17" s="1171"/>
      <c r="E17" s="1171"/>
      <c r="H17" s="1328"/>
      <c r="I17" s="1017" t="s">
        <v>819</v>
      </c>
      <c r="J17" s="995"/>
      <c r="K17" s="1017"/>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BA17" s="1389"/>
      <c r="BW17" s="1640">
        <v>1</v>
      </c>
    </row>
    <row s="1370" customFormat="1" customHeight="1" ht="24">
      <c r="A18" s="991"/>
      <c r="B18" s="991"/>
      <c r="C18" s="991"/>
      <c r="D18" s="991"/>
      <c r="E18" s="991"/>
      <c r="G18" s="1640"/>
      <c r="H18" s="1637"/>
      <c r="I18" s="574"/>
      <c r="J18" s="575" t="s">
        <v>732</v>
      </c>
      <c r="K18" s="576"/>
      <c r="L18" s="2071"/>
      <c r="M18" s="577"/>
      <c r="N18" s="2898"/>
      <c r="O18" s="2899"/>
      <c r="P18" s="2900"/>
      <c r="Q18" s="2901"/>
      <c r="R18" s="2902"/>
      <c r="S18" s="2903"/>
      <c r="T18" s="2904"/>
      <c r="U18" s="2905"/>
      <c r="V18" s="2906"/>
      <c r="W18" s="2907"/>
      <c r="X18" s="2908"/>
      <c r="Y18" s="2909"/>
      <c r="Z18" s="2910"/>
      <c r="AA18" s="2911"/>
      <c r="AB18" s="2912"/>
      <c r="AC18" s="2913"/>
      <c r="AD18" s="2914"/>
      <c r="AE18" s="2915"/>
      <c r="AF18" s="2916"/>
      <c r="AG18" s="2917"/>
      <c r="AH18" s="2918"/>
      <c r="AI18" s="2919"/>
      <c r="AJ18" s="2920"/>
      <c r="AK18" s="2921"/>
      <c r="AL18" s="2922"/>
      <c r="AM18" s="2923"/>
      <c r="AN18" s="2924"/>
      <c r="AO18" s="2925"/>
      <c r="AP18" s="2926"/>
      <c r="AQ18" s="2927"/>
      <c r="AR18" s="2929"/>
      <c r="AS18" s="2930"/>
      <c r="AT18" s="2932"/>
      <c r="AU18" s="2934"/>
      <c r="AV18" s="2935"/>
      <c r="AW18" s="2936"/>
      <c r="AX18" s="2937"/>
      <c r="AY18" s="2938"/>
      <c r="AZ18" s="547"/>
      <c r="BA18" s="1529" t="s">
        <v>733</v>
      </c>
      <c r="BB18" s="547"/>
      <c r="BC18" s="1640"/>
      <c r="BD18" s="1640"/>
      <c r="BI18" s="1640"/>
      <c r="BL18" s="548"/>
      <c r="BR18" s="1636"/>
      <c r="BS18" s="1636"/>
      <c r="BT18" s="1636"/>
      <c r="BU18" s="1636"/>
      <c r="BV18" s="1636"/>
      <c r="BW18" s="1370">
        <v>23</v>
      </c>
    </row>
    <row customHeight="1" ht="19.95">
      <c r="A19" s="2055"/>
      <c r="B19" s="2054" t="s">
        <v>820</v>
      </c>
      <c r="C19" s="2054" t="s">
        <v>821</v>
      </c>
      <c r="D19" s="2053" t="s">
        <v>800</v>
      </c>
      <c r="E19" s="2057" t="s">
        <v>811</v>
      </c>
      <c r="F19" s="2057" t="s">
        <v>811</v>
      </c>
      <c r="H19" s="2022"/>
      <c r="I19" s="1668">
        <v>3</v>
      </c>
      <c r="J19" s="2023" t="s">
        <v>821</v>
      </c>
      <c r="K19" s="2019" t="s">
        <v>694</v>
      </c>
      <c r="L19" s="731"/>
      <c r="M19" s="56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547"/>
      <c r="BA19" s="1529" t="s">
        <v>822</v>
      </c>
      <c r="BB19" s="547"/>
      <c r="BW19" s="1635">
        <v>19</v>
      </c>
    </row>
    <row customHeight="1" ht="77.7">
      <c r="A20" s="2055"/>
      <c r="B20" s="2054" t="s">
        <v>823</v>
      </c>
      <c r="C20" s="2054" t="s">
        <v>824</v>
      </c>
      <c r="D20" s="2053" t="s">
        <v>800</v>
      </c>
      <c r="E20" s="2057" t="s">
        <v>811</v>
      </c>
      <c r="F20" s="2057" t="s">
        <v>811</v>
      </c>
      <c r="H20" s="2022"/>
      <c r="I20" s="1668">
        <v>4</v>
      </c>
      <c r="J20" s="2023" t="s">
        <v>825</v>
      </c>
      <c r="K20" s="2019" t="s">
        <v>729</v>
      </c>
      <c r="L20" s="731"/>
      <c r="M20" s="56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c r="AY20" s="731"/>
      <c r="AZ20" s="547"/>
      <c r="BA20" s="1529"/>
      <c r="BB20" s="547"/>
      <c r="BW20" s="1635">
        <v>74</v>
      </c>
    </row>
    <row customHeight="1" ht="35.699999999999996">
      <c r="A21" s="2055"/>
      <c r="B21" s="2054" t="s">
        <v>826</v>
      </c>
      <c r="C21" s="2054" t="s">
        <v>827</v>
      </c>
      <c r="D21" s="2053" t="s">
        <v>800</v>
      </c>
      <c r="E21" s="2057" t="s">
        <v>811</v>
      </c>
      <c r="F21" s="2057" t="s">
        <v>811</v>
      </c>
      <c r="H21" s="2022"/>
      <c r="I21" s="1668">
        <v>5</v>
      </c>
      <c r="J21" s="2023" t="s">
        <v>828</v>
      </c>
      <c r="K21" s="2019" t="s">
        <v>729</v>
      </c>
      <c r="L21" s="731"/>
      <c r="M21" s="56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1"/>
      <c r="AY21" s="731"/>
      <c r="AZ21" s="547"/>
      <c r="BA21" s="1529" t="s">
        <v>822</v>
      </c>
      <c r="BB21" s="547"/>
      <c r="BW21" s="1635">
        <v>34</v>
      </c>
    </row>
    <row customHeight="1" ht="48.29999999999999">
      <c r="A22" s="2055"/>
      <c r="B22" s="2054" t="s">
        <v>829</v>
      </c>
      <c r="C22" s="2054" t="s">
        <v>830</v>
      </c>
      <c r="D22" s="2053" t="s">
        <v>800</v>
      </c>
      <c r="E22" s="2057" t="s">
        <v>811</v>
      </c>
      <c r="F22" s="2057" t="s">
        <v>811</v>
      </c>
      <c r="H22" s="2022"/>
      <c r="I22" s="1668">
        <v>6</v>
      </c>
      <c r="J22" s="2023" t="s">
        <v>831</v>
      </c>
      <c r="K22" s="2019" t="s">
        <v>729</v>
      </c>
      <c r="L22" s="731"/>
      <c r="M22" s="56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547"/>
      <c r="BA22" s="1529" t="s">
        <v>832</v>
      </c>
      <c r="BB22" s="547"/>
      <c r="BW22" s="1635">
        <v>46</v>
      </c>
    </row>
    <row customHeight="1" ht="19.95">
      <c r="A23" s="2055"/>
      <c r="B23" s="2054" t="s">
        <v>833</v>
      </c>
      <c r="C23" s="2054" t="s">
        <v>834</v>
      </c>
      <c r="D23" s="2053" t="s">
        <v>800</v>
      </c>
      <c r="E23" s="2057" t="s">
        <v>811</v>
      </c>
      <c r="F23" s="2057" t="s">
        <v>811</v>
      </c>
      <c r="H23" s="2022"/>
      <c r="I23" s="1668" t="s">
        <v>835</v>
      </c>
      <c r="J23" s="1528" t="s">
        <v>836</v>
      </c>
      <c r="K23" s="2019" t="s">
        <v>729</v>
      </c>
      <c r="L23" s="731"/>
      <c r="M23" s="56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1"/>
      <c r="AY23" s="731"/>
      <c r="AZ23" s="547"/>
      <c r="BA23" s="1529" t="s">
        <v>822</v>
      </c>
      <c r="BB23" s="547"/>
      <c r="BW23" s="1635">
        <v>19</v>
      </c>
    </row>
    <row customHeight="1" ht="19.95">
      <c r="A24" s="2055"/>
      <c r="B24" s="2054" t="s">
        <v>837</v>
      </c>
      <c r="C24" s="2054" t="s">
        <v>838</v>
      </c>
      <c r="D24" s="2053" t="s">
        <v>800</v>
      </c>
      <c r="E24" s="2057" t="s">
        <v>811</v>
      </c>
      <c r="F24" s="2057" t="s">
        <v>811</v>
      </c>
      <c r="H24" s="2022"/>
      <c r="I24" s="1668" t="s">
        <v>839</v>
      </c>
      <c r="J24" s="1528" t="s">
        <v>840</v>
      </c>
      <c r="K24" s="2019" t="s">
        <v>729</v>
      </c>
      <c r="L24" s="731"/>
      <c r="M24" s="56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47"/>
      <c r="BA24" s="1529"/>
      <c r="BB24" s="547"/>
      <c r="BW24" s="1635">
        <v>19</v>
      </c>
    </row>
    <row customHeight="1" ht="24">
      <c r="A25" s="2055"/>
      <c r="B25" s="2054" t="s">
        <v>841</v>
      </c>
      <c r="C25" s="2054" t="s">
        <v>842</v>
      </c>
      <c r="D25" s="2053" t="s">
        <v>800</v>
      </c>
      <c r="E25" s="2057" t="s">
        <v>811</v>
      </c>
      <c r="F25" s="2057" t="s">
        <v>811</v>
      </c>
      <c r="H25" s="2022"/>
      <c r="I25" s="1668" t="s">
        <v>843</v>
      </c>
      <c r="J25" s="1528" t="s">
        <v>844</v>
      </c>
      <c r="K25" s="2019" t="s">
        <v>729</v>
      </c>
      <c r="L25" s="731"/>
      <c r="M25" s="56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547"/>
      <c r="BA25" s="1529"/>
      <c r="BB25" s="547"/>
      <c r="BW25" s="1635">
        <v>23</v>
      </c>
    </row>
    <row customHeight="1" ht="24">
      <c r="A26" s="2055"/>
      <c r="B26" s="2054" t="s">
        <v>845</v>
      </c>
      <c r="C26" s="2054" t="s">
        <v>846</v>
      </c>
      <c r="D26" s="2053" t="s">
        <v>800</v>
      </c>
      <c r="E26" s="2057" t="s">
        <v>811</v>
      </c>
      <c r="F26" s="2057" t="s">
        <v>811</v>
      </c>
      <c r="H26" s="2022"/>
      <c r="I26" s="1668">
        <v>7</v>
      </c>
      <c r="J26" s="2023" t="s">
        <v>846</v>
      </c>
      <c r="K26" s="2019" t="s">
        <v>847</v>
      </c>
      <c r="L26" s="731"/>
      <c r="M26" s="56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547"/>
      <c r="BA26" s="1529"/>
      <c r="BB26" s="547"/>
      <c r="BW26" s="1635">
        <v>23</v>
      </c>
    </row>
    <row customHeight="1" ht="24">
      <c r="A27" s="2055"/>
      <c r="B27" s="2054" t="s">
        <v>848</v>
      </c>
      <c r="C27" s="2054" t="s">
        <v>849</v>
      </c>
      <c r="D27" s="2053" t="s">
        <v>800</v>
      </c>
      <c r="E27" s="2057" t="s">
        <v>811</v>
      </c>
      <c r="F27" s="2057" t="s">
        <v>811</v>
      </c>
      <c r="H27" s="2022"/>
      <c r="I27" s="1668">
        <v>8</v>
      </c>
      <c r="J27" s="2023" t="s">
        <v>849</v>
      </c>
      <c r="K27" s="2019" t="s">
        <v>734</v>
      </c>
      <c r="L27" s="731"/>
      <c r="M27" s="56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547"/>
      <c r="BA27" s="1529"/>
      <c r="BB27" s="547"/>
      <c r="BW27" s="1635">
        <v>23</v>
      </c>
    </row>
    <row customHeight="1" ht="35.699999999999996">
      <c r="A28" s="2055"/>
      <c r="B28" s="2054" t="s">
        <v>850</v>
      </c>
      <c r="C28" s="2054" t="s">
        <v>851</v>
      </c>
      <c r="D28" s="2053" t="s">
        <v>800</v>
      </c>
      <c r="E28" s="2057" t="s">
        <v>811</v>
      </c>
      <c r="F28" s="2057" t="s">
        <v>811</v>
      </c>
      <c r="H28" s="2022"/>
      <c r="I28" s="1678">
        <v>9</v>
      </c>
      <c r="J28" s="2023" t="s">
        <v>852</v>
      </c>
      <c r="K28" s="2019" t="s">
        <v>698</v>
      </c>
      <c r="L28" s="731"/>
      <c r="M28" s="56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547"/>
      <c r="BA28" s="1529"/>
      <c r="BB28" s="547"/>
      <c r="BW28" s="1635">
        <v>34</v>
      </c>
    </row>
    <row customHeight="1" ht="35.699999999999996">
      <c r="A29" s="2055"/>
      <c r="B29" s="2054" t="s">
        <v>853</v>
      </c>
      <c r="C29" s="2054" t="s">
        <v>854</v>
      </c>
      <c r="D29" s="2053" t="s">
        <v>800</v>
      </c>
      <c r="E29" s="2057" t="s">
        <v>811</v>
      </c>
      <c r="F29" s="2057" t="s">
        <v>811</v>
      </c>
      <c r="H29" s="2022"/>
      <c r="I29" s="1678">
        <v>10</v>
      </c>
      <c r="J29" s="2023" t="s">
        <v>855</v>
      </c>
      <c r="K29" s="2019" t="s">
        <v>698</v>
      </c>
      <c r="L29" s="731"/>
      <c r="M29" s="56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547"/>
      <c r="BA29" s="1529"/>
      <c r="BB29" s="547"/>
      <c r="BW29" s="1635">
        <v>34</v>
      </c>
    </row>
    <row customHeight="1" ht="24">
      <c r="A30" s="2055"/>
      <c r="B30" s="2054" t="s">
        <v>856</v>
      </c>
      <c r="C30" s="2054" t="s">
        <v>857</v>
      </c>
      <c r="D30" s="2053" t="s">
        <v>800</v>
      </c>
      <c r="E30" s="2057" t="s">
        <v>811</v>
      </c>
      <c r="F30" s="2057" t="s">
        <v>811</v>
      </c>
      <c r="H30" s="2022"/>
      <c r="I30" s="1678">
        <v>11</v>
      </c>
      <c r="J30" s="2023" t="s">
        <v>857</v>
      </c>
      <c r="K30" s="2019" t="s">
        <v>735</v>
      </c>
      <c r="L30" s="2070"/>
      <c r="M30" s="1625"/>
      <c r="N30" s="2070"/>
      <c r="O30" s="2070"/>
      <c r="P30" s="2070"/>
      <c r="Q30" s="2070"/>
      <c r="R30" s="2070"/>
      <c r="S30" s="2070"/>
      <c r="T30" s="2070"/>
      <c r="U30" s="2070"/>
      <c r="V30" s="2070"/>
      <c r="W30" s="2070"/>
      <c r="X30" s="2070"/>
      <c r="Y30" s="2070"/>
      <c r="Z30" s="2070"/>
      <c r="AA30" s="2070"/>
      <c r="AB30" s="2070"/>
      <c r="AC30" s="2070"/>
      <c r="AD30" s="2070"/>
      <c r="AE30" s="2070"/>
      <c r="AF30" s="2070"/>
      <c r="AG30" s="2070"/>
      <c r="AH30" s="2070"/>
      <c r="AI30" s="2070"/>
      <c r="AJ30" s="2070"/>
      <c r="AK30" s="2070"/>
      <c r="AL30" s="2070"/>
      <c r="AM30" s="2070"/>
      <c r="AN30" s="2070"/>
      <c r="AO30" s="2070"/>
      <c r="AP30" s="2070"/>
      <c r="AQ30" s="2070"/>
      <c r="AR30" s="2070"/>
      <c r="AS30" s="2070"/>
      <c r="AT30" s="2070"/>
      <c r="AU30" s="2070"/>
      <c r="AV30" s="2070"/>
      <c r="AW30" s="2070"/>
      <c r="AX30" s="2070"/>
      <c r="AY30" s="2070"/>
      <c r="AZ30" s="547"/>
      <c r="BA30" s="1529"/>
      <c r="BB30" s="547"/>
      <c r="BW30" s="1635">
        <v>23</v>
      </c>
    </row>
    <row customHeight="1" ht="24">
      <c r="A31" s="2055"/>
      <c r="B31" s="2054" t="s">
        <v>858</v>
      </c>
      <c r="C31" s="2054" t="s">
        <v>859</v>
      </c>
      <c r="D31" s="2053" t="s">
        <v>800</v>
      </c>
      <c r="E31" s="2057" t="s">
        <v>811</v>
      </c>
      <c r="F31" s="2057" t="s">
        <v>811</v>
      </c>
      <c r="H31" s="2022"/>
      <c r="I31" s="1678">
        <v>12</v>
      </c>
      <c r="J31" s="2023" t="s">
        <v>859</v>
      </c>
      <c r="K31" s="2019" t="s">
        <v>735</v>
      </c>
      <c r="L31" s="2070"/>
      <c r="M31" s="1625"/>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547"/>
      <c r="BA31" s="1529"/>
      <c r="BB31" s="547"/>
      <c r="BW31" s="1635">
        <v>23</v>
      </c>
    </row>
    <row customHeight="1" ht="48.29999999999999">
      <c r="A32" s="2055"/>
      <c r="B32" s="2054" t="s">
        <v>860</v>
      </c>
      <c r="C32" s="2054" t="s">
        <v>861</v>
      </c>
      <c r="D32" s="2053" t="s">
        <v>800</v>
      </c>
      <c r="E32" s="2057" t="s">
        <v>811</v>
      </c>
      <c r="F32" s="2057" t="s">
        <v>811</v>
      </c>
      <c r="H32" s="2022"/>
      <c r="I32" s="1678">
        <v>13</v>
      </c>
      <c r="J32" s="2023" t="s">
        <v>862</v>
      </c>
      <c r="K32" s="2019" t="s">
        <v>745</v>
      </c>
      <c r="L32" s="731"/>
      <c r="M32" s="56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547"/>
      <c r="BA32" s="1529" t="s">
        <v>822</v>
      </c>
      <c r="BB32" s="547"/>
      <c r="BW32" s="1635">
        <v>46</v>
      </c>
    </row>
    <row s="1370" customFormat="1" customHeight="1" ht="48.29999999999999">
      <c r="A33" s="2055"/>
      <c r="B33" s="2054" t="s">
        <v>863</v>
      </c>
      <c r="C33" s="2054" t="s">
        <v>864</v>
      </c>
      <c r="D33" s="2053" t="s">
        <v>800</v>
      </c>
      <c r="E33" s="2057" t="s">
        <v>811</v>
      </c>
      <c r="F33" s="2057" t="s">
        <v>811</v>
      </c>
      <c r="G33" s="1640"/>
      <c r="H33" s="2022"/>
      <c r="I33" s="1678">
        <v>14</v>
      </c>
      <c r="J33" s="2035" t="s">
        <v>865</v>
      </c>
      <c r="K33" s="2024" t="s">
        <v>866</v>
      </c>
      <c r="L33" s="731"/>
      <c r="M33" s="56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547"/>
      <c r="BA33" s="1529" t="s">
        <v>822</v>
      </c>
      <c r="BB33" s="547"/>
      <c r="BC33" s="1640"/>
      <c r="BD33" s="1640"/>
      <c r="BI33" s="1640"/>
      <c r="BL33" s="548"/>
      <c r="BR33" s="1636"/>
      <c r="BS33" s="1636"/>
      <c r="BT33" s="1636"/>
      <c r="BU33" s="1636"/>
      <c r="BV33" s="1636"/>
      <c r="BW33" s="1370">
        <v>46</v>
      </c>
    </row>
    <row customHeight="1" ht="108">
      <c r="A34" s="2055"/>
      <c r="B34" s="2054" t="s">
        <v>867</v>
      </c>
      <c r="C34" s="2054" t="s">
        <v>868</v>
      </c>
      <c r="D34" s="2053" t="s">
        <v>810</v>
      </c>
      <c r="E34" s="2057" t="s">
        <v>811</v>
      </c>
      <c r="F34" s="2057" t="s">
        <v>811</v>
      </c>
      <c r="G34" s="1640" t="s">
        <v>724</v>
      </c>
      <c r="H34" s="2022"/>
      <c r="I34" s="2033">
        <v>15</v>
      </c>
      <c r="J34" s="2034" t="s">
        <v>869</v>
      </c>
      <c r="K34" s="2019" t="s">
        <v>444</v>
      </c>
      <c r="L34" s="389"/>
      <c r="M34" s="1168"/>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547"/>
      <c r="BA34" s="1529" t="s">
        <v>814</v>
      </c>
      <c r="BB34" s="547"/>
      <c r="BW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c r="AP35" s="1645"/>
      <c r="AQ35" s="1645"/>
      <c r="AR35" s="1645"/>
      <c r="AS35" s="1645"/>
      <c r="AT35" s="1645"/>
      <c r="AU35" s="1645"/>
      <c r="AV35" s="1645"/>
      <c r="AW35" s="1645"/>
      <c r="AX35" s="1645"/>
      <c r="AY35" s="1645"/>
      <c r="AZ35" s="1370"/>
      <c r="BB35" s="1370"/>
      <c r="BC35" s="1640"/>
      <c r="BD35" s="1640"/>
      <c r="BE35" s="1370"/>
      <c r="BF35" s="1370"/>
      <c r="BG35" s="1370"/>
      <c r="BH35" s="1370"/>
      <c r="BI35" s="1640"/>
      <c r="BJ35" s="1370"/>
      <c r="BK35" s="1370"/>
      <c r="BL35" s="548"/>
      <c r="BM35" s="1370"/>
      <c r="BN35" s="1370"/>
      <c r="BO35" s="1370"/>
      <c r="BP35" s="1370"/>
      <c r="BQ35" s="1370"/>
      <c r="BR35" s="1636"/>
      <c r="BS35" s="626"/>
      <c r="BT35" s="626"/>
      <c r="BU35" s="626"/>
      <c r="BV35" s="626"/>
      <c r="BW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645"/>
      <c r="AR36" s="1645"/>
      <c r="AS36" s="1645"/>
      <c r="AT36" s="1645"/>
      <c r="AU36" s="1645"/>
      <c r="AV36" s="1645"/>
      <c r="AW36" s="1645"/>
      <c r="AX36" s="1645"/>
      <c r="AY36" s="1645"/>
      <c r="AZ36" s="1370"/>
      <c r="BB36" s="1370"/>
      <c r="BC36" s="1640"/>
      <c r="BD36" s="1640"/>
      <c r="BE36" s="1370"/>
      <c r="BF36" s="1370"/>
      <c r="BG36" s="1370"/>
      <c r="BH36" s="1370"/>
      <c r="BI36" s="1640"/>
      <c r="BJ36" s="1370"/>
      <c r="BK36" s="1370"/>
      <c r="BL36" s="548"/>
      <c r="BM36" s="1370"/>
      <c r="BN36" s="1370"/>
      <c r="BO36" s="1370"/>
      <c r="BP36" s="1370"/>
      <c r="BQ36" s="1370"/>
      <c r="BR36" s="1636"/>
      <c r="BS36" s="626"/>
      <c r="BT36" s="626"/>
      <c r="BU36" s="626"/>
      <c r="BV36" s="626"/>
      <c r="BW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1370"/>
      <c r="BB37" s="1370"/>
      <c r="BC37" s="1640"/>
      <c r="BD37" s="1640"/>
      <c r="BE37" s="1370"/>
      <c r="BF37" s="1370"/>
      <c r="BG37" s="1370"/>
      <c r="BH37" s="1370"/>
      <c r="BI37" s="1640"/>
      <c r="BJ37" s="1370"/>
      <c r="BK37" s="1370"/>
      <c r="BL37" s="548"/>
      <c r="BM37" s="1370"/>
      <c r="BN37" s="1370"/>
      <c r="BO37" s="1370"/>
      <c r="BP37" s="1370"/>
      <c r="BQ37" s="1370"/>
      <c r="BR37" s="1636"/>
      <c r="BS37" s="626"/>
      <c r="BT37" s="626"/>
      <c r="BU37" s="626"/>
      <c r="BV37" s="626"/>
      <c r="BW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370"/>
      <c r="BB38" s="1370"/>
      <c r="BC38" s="1640"/>
      <c r="BD38" s="1640"/>
      <c r="BE38" s="1370"/>
      <c r="BF38" s="1370"/>
      <c r="BG38" s="1370"/>
      <c r="BH38" s="1370"/>
      <c r="BI38" s="1640"/>
      <c r="BJ38" s="1370"/>
      <c r="BK38" s="1370"/>
      <c r="BL38" s="548"/>
      <c r="BM38" s="1370"/>
      <c r="BN38" s="1370"/>
      <c r="BO38" s="1370"/>
      <c r="BP38" s="1370"/>
      <c r="BQ38" s="1370"/>
      <c r="BR38" s="1636"/>
      <c r="BS38" s="626"/>
      <c r="BT38" s="626"/>
      <c r="BU38" s="626"/>
      <c r="BV38" s="626"/>
      <c r="BW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c r="AP39" s="1645"/>
      <c r="AQ39" s="1645"/>
      <c r="AR39" s="1645"/>
      <c r="AS39" s="1645"/>
      <c r="AT39" s="1645"/>
      <c r="AU39" s="1645"/>
      <c r="AV39" s="1645"/>
      <c r="AW39" s="1645"/>
      <c r="AX39" s="1645"/>
      <c r="AY39" s="1645"/>
      <c r="AZ39" s="1370"/>
      <c r="BB39" s="1370"/>
      <c r="BC39" s="1640"/>
      <c r="BD39" s="1640"/>
      <c r="BE39" s="1370"/>
      <c r="BF39" s="1370"/>
      <c r="BG39" s="1370"/>
      <c r="BH39" s="1370"/>
      <c r="BI39" s="1640"/>
      <c r="BJ39" s="1370"/>
      <c r="BK39" s="1370"/>
      <c r="BL39" s="548"/>
      <c r="BM39" s="1370"/>
      <c r="BN39" s="1370"/>
      <c r="BO39" s="1370"/>
      <c r="BP39" s="1370"/>
      <c r="BQ39" s="1370"/>
      <c r="BR39" s="1636"/>
      <c r="BS39" s="626"/>
      <c r="BT39" s="626"/>
      <c r="BU39" s="626"/>
      <c r="BV39" s="626"/>
      <c r="BW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370"/>
      <c r="BB40" s="1370"/>
      <c r="BC40" s="1640"/>
      <c r="BD40" s="1640"/>
      <c r="BE40" s="1370"/>
      <c r="BF40" s="1370"/>
      <c r="BG40" s="1370"/>
      <c r="BH40" s="1370"/>
      <c r="BI40" s="1640"/>
      <c r="BJ40" s="1370"/>
      <c r="BK40" s="1370"/>
      <c r="BL40" s="548"/>
      <c r="BM40" s="1370"/>
      <c r="BN40" s="1370"/>
      <c r="BO40" s="1370"/>
      <c r="BP40" s="1370"/>
      <c r="BQ40" s="1370"/>
      <c r="BR40" s="1636"/>
      <c r="BS40" s="626"/>
      <c r="BT40" s="626"/>
      <c r="BU40" s="626"/>
      <c r="BV40" s="626"/>
      <c r="BW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370"/>
      <c r="BB41" s="1370"/>
      <c r="BC41" s="1640"/>
      <c r="BD41" s="1640"/>
      <c r="BE41" s="1370"/>
      <c r="BF41" s="1370"/>
      <c r="BG41" s="1370"/>
      <c r="BH41" s="1370"/>
      <c r="BI41" s="1640"/>
      <c r="BJ41" s="1370"/>
      <c r="BK41" s="1370"/>
      <c r="BL41" s="548"/>
      <c r="BM41" s="1370"/>
      <c r="BN41" s="1370"/>
      <c r="BO41" s="1370"/>
      <c r="BP41" s="1370"/>
      <c r="BQ41" s="1370"/>
      <c r="BR41" s="1636"/>
      <c r="BS41" s="626"/>
      <c r="BT41" s="626"/>
      <c r="BU41" s="626"/>
      <c r="BV41" s="626"/>
      <c r="BW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370"/>
      <c r="BB42" s="1370"/>
      <c r="BC42" s="1640"/>
      <c r="BD42" s="1640"/>
      <c r="BE42" s="1370"/>
      <c r="BF42" s="1370"/>
      <c r="BG42" s="1370"/>
      <c r="BH42" s="1370"/>
      <c r="BI42" s="1640"/>
      <c r="BJ42" s="1370"/>
      <c r="BK42" s="1370"/>
      <c r="BL42" s="548"/>
      <c r="BM42" s="1370"/>
      <c r="BN42" s="1370"/>
      <c r="BO42" s="1370"/>
      <c r="BP42" s="1370"/>
      <c r="BQ42" s="1370"/>
      <c r="BR42" s="1636"/>
      <c r="BS42" s="626"/>
      <c r="BT42" s="626"/>
      <c r="BU42" s="626"/>
      <c r="BV42" s="626"/>
      <c r="BW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645"/>
      <c r="AR43" s="1645"/>
      <c r="AS43" s="1645"/>
      <c r="AT43" s="1645"/>
      <c r="AU43" s="1645"/>
      <c r="AV43" s="1645"/>
      <c r="AW43" s="1645"/>
      <c r="AX43" s="1645"/>
      <c r="AY43" s="1645"/>
      <c r="AZ43" s="1370"/>
      <c r="BB43" s="1370"/>
      <c r="BC43" s="1640"/>
      <c r="BD43" s="1640"/>
      <c r="BE43" s="1370"/>
      <c r="BF43" s="1370"/>
      <c r="BG43" s="1370"/>
      <c r="BH43" s="1370"/>
      <c r="BI43" s="1640"/>
      <c r="BJ43" s="1370"/>
      <c r="BK43" s="1370"/>
      <c r="BL43" s="548"/>
      <c r="BM43" s="1370"/>
      <c r="BN43" s="1370"/>
      <c r="BO43" s="1370"/>
      <c r="BP43" s="1370"/>
      <c r="BQ43" s="1370"/>
      <c r="BR43" s="1636"/>
      <c r="BS43" s="626"/>
      <c r="BT43" s="626"/>
      <c r="BU43" s="626"/>
      <c r="BV43" s="626"/>
      <c r="BW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370"/>
      <c r="BB44" s="1370"/>
      <c r="BC44" s="1640"/>
      <c r="BD44" s="1640"/>
      <c r="BE44" s="1370"/>
      <c r="BF44" s="1370"/>
      <c r="BG44" s="1370"/>
      <c r="BH44" s="1370"/>
      <c r="BI44" s="1640"/>
      <c r="BJ44" s="1370"/>
      <c r="BK44" s="1370"/>
      <c r="BL44" s="548"/>
      <c r="BM44" s="1370"/>
      <c r="BN44" s="1370"/>
      <c r="BO44" s="1370"/>
      <c r="BP44" s="1370"/>
      <c r="BQ44" s="1370"/>
      <c r="BR44" s="1636"/>
      <c r="BS44" s="626"/>
      <c r="BT44" s="626"/>
      <c r="BU44" s="626"/>
      <c r="BV44" s="626"/>
      <c r="BW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370"/>
      <c r="BB45" s="1370"/>
      <c r="BC45" s="1640"/>
      <c r="BD45" s="1640"/>
      <c r="BE45" s="1370"/>
      <c r="BF45" s="1370"/>
      <c r="BG45" s="1370"/>
      <c r="BH45" s="1370"/>
      <c r="BI45" s="1640"/>
      <c r="BJ45" s="1370"/>
      <c r="BK45" s="1370"/>
      <c r="BL45" s="548"/>
      <c r="BM45" s="1370"/>
      <c r="BN45" s="1370"/>
      <c r="BO45" s="1370"/>
      <c r="BP45" s="1370"/>
      <c r="BQ45" s="1370"/>
      <c r="BR45" s="1636"/>
      <c r="BS45" s="626"/>
      <c r="BT45" s="626"/>
      <c r="BU45" s="626"/>
      <c r="BV45" s="626"/>
      <c r="BW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370"/>
      <c r="BB46" s="1370"/>
      <c r="BC46" s="1640"/>
      <c r="BD46" s="1640"/>
      <c r="BE46" s="1370"/>
      <c r="BF46" s="1370"/>
      <c r="BG46" s="1370"/>
      <c r="BH46" s="1370"/>
      <c r="BI46" s="1640"/>
      <c r="BJ46" s="1370"/>
      <c r="BK46" s="1370"/>
      <c r="BL46" s="548"/>
      <c r="BM46" s="1370"/>
      <c r="BN46" s="1370"/>
      <c r="BO46" s="1370"/>
      <c r="BP46" s="1370"/>
      <c r="BQ46" s="1370"/>
      <c r="BR46" s="1636"/>
      <c r="BS46" s="626"/>
      <c r="BT46" s="626"/>
      <c r="BU46" s="626"/>
      <c r="BV46" s="626"/>
      <c r="BW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370"/>
      <c r="BB47" s="1370"/>
      <c r="BC47" s="1640"/>
      <c r="BD47" s="1640"/>
      <c r="BE47" s="1370"/>
      <c r="BF47" s="1370"/>
      <c r="BG47" s="1370"/>
      <c r="BH47" s="1370"/>
      <c r="BI47" s="1640"/>
      <c r="BJ47" s="1370"/>
      <c r="BK47" s="1370"/>
      <c r="BL47" s="548"/>
      <c r="BM47" s="1370"/>
      <c r="BN47" s="1370"/>
      <c r="BO47" s="1370"/>
      <c r="BP47" s="1370"/>
      <c r="BQ47" s="1370"/>
      <c r="BR47" s="1636"/>
      <c r="BS47" s="626"/>
      <c r="BT47" s="626"/>
      <c r="BU47" s="626"/>
      <c r="BV47" s="626"/>
      <c r="BW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370"/>
      <c r="BB48" s="1370"/>
      <c r="BC48" s="1640"/>
      <c r="BD48" s="1640"/>
      <c r="BE48" s="1370"/>
      <c r="BF48" s="1370"/>
      <c r="BG48" s="1370"/>
      <c r="BH48" s="1370"/>
      <c r="BI48" s="1640"/>
      <c r="BJ48" s="1370"/>
      <c r="BK48" s="1370"/>
      <c r="BL48" s="548"/>
      <c r="BM48" s="1370"/>
      <c r="BN48" s="1370"/>
      <c r="BO48" s="1370"/>
      <c r="BP48" s="1370"/>
      <c r="BQ48" s="1370"/>
      <c r="BR48" s="1636"/>
      <c r="BS48" s="626"/>
      <c r="BT48" s="626"/>
      <c r="BU48" s="626"/>
      <c r="BV48" s="626"/>
      <c r="BW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370"/>
      <c r="BB49" s="1370"/>
      <c r="BC49" s="1640"/>
      <c r="BD49" s="1640"/>
      <c r="BE49" s="1370"/>
      <c r="BF49" s="1370"/>
      <c r="BG49" s="1370"/>
      <c r="BH49" s="1370"/>
      <c r="BI49" s="1640"/>
      <c r="BJ49" s="1370"/>
      <c r="BK49" s="1370"/>
      <c r="BL49" s="548"/>
      <c r="BM49" s="1370"/>
      <c r="BN49" s="1370"/>
      <c r="BO49" s="1370"/>
      <c r="BP49" s="1370"/>
      <c r="BQ49" s="1370"/>
      <c r="BR49" s="1636"/>
      <c r="BS49" s="626"/>
      <c r="BT49" s="626"/>
      <c r="BU49" s="626"/>
      <c r="BV49" s="626"/>
      <c r="BW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370"/>
      <c r="BB50" s="1370"/>
      <c r="BC50" s="1640"/>
      <c r="BD50" s="1640"/>
      <c r="BE50" s="1370"/>
      <c r="BF50" s="1370"/>
      <c r="BG50" s="1370"/>
      <c r="BH50" s="1370"/>
      <c r="BI50" s="1640"/>
      <c r="BJ50" s="1370"/>
      <c r="BK50" s="1370"/>
      <c r="BL50" s="548"/>
      <c r="BM50" s="1370"/>
      <c r="BN50" s="1370"/>
      <c r="BO50" s="1370"/>
      <c r="BP50" s="1370"/>
      <c r="BQ50" s="1370"/>
      <c r="BR50" s="1636"/>
      <c r="BS50" s="626"/>
      <c r="BT50" s="626"/>
      <c r="BU50" s="626"/>
      <c r="BV50" s="626"/>
      <c r="BW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370"/>
      <c r="BB51" s="1370"/>
      <c r="BC51" s="1640"/>
      <c r="BD51" s="1640"/>
      <c r="BE51" s="1370"/>
      <c r="BF51" s="1370"/>
      <c r="BG51" s="1370"/>
      <c r="BH51" s="1370"/>
      <c r="BI51" s="1640"/>
      <c r="BJ51" s="1370"/>
      <c r="BK51" s="1370"/>
      <c r="BL51" s="548"/>
      <c r="BM51" s="1370"/>
      <c r="BN51" s="1370"/>
      <c r="BO51" s="1370"/>
      <c r="BP51" s="1370"/>
      <c r="BQ51" s="1370"/>
      <c r="BR51" s="1636"/>
      <c r="BS51" s="626"/>
      <c r="BT51" s="626"/>
      <c r="BU51" s="626"/>
      <c r="BV51" s="626"/>
      <c r="BW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370"/>
      <c r="BB52" s="1370"/>
      <c r="BC52" s="1640"/>
      <c r="BD52" s="1640"/>
      <c r="BE52" s="1370"/>
      <c r="BF52" s="1370"/>
      <c r="BG52" s="1370"/>
      <c r="BH52" s="1370"/>
      <c r="BI52" s="1640"/>
      <c r="BJ52" s="1370"/>
      <c r="BK52" s="1370"/>
      <c r="BL52" s="548"/>
      <c r="BM52" s="1370"/>
      <c r="BN52" s="1370"/>
      <c r="BO52" s="1370"/>
      <c r="BP52" s="1370"/>
      <c r="BQ52" s="1370"/>
      <c r="BR52" s="1636"/>
      <c r="BS52" s="626"/>
      <c r="BT52" s="626"/>
      <c r="BU52" s="626"/>
      <c r="BV52" s="626"/>
      <c r="BW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370"/>
      <c r="BB53" s="1370"/>
      <c r="BC53" s="1640"/>
      <c r="BD53" s="1640"/>
      <c r="BE53" s="1370"/>
      <c r="BF53" s="1370"/>
      <c r="BG53" s="1370"/>
      <c r="BH53" s="1370"/>
      <c r="BI53" s="1640"/>
      <c r="BJ53" s="1370"/>
      <c r="BK53" s="1370"/>
      <c r="BL53" s="548"/>
      <c r="BM53" s="1370"/>
      <c r="BN53" s="1370"/>
      <c r="BO53" s="1370"/>
      <c r="BP53" s="1370"/>
      <c r="BQ53" s="1370"/>
      <c r="BR53" s="1636"/>
      <c r="BS53" s="626"/>
      <c r="BT53" s="626"/>
      <c r="BU53" s="626"/>
      <c r="BV53" s="626"/>
      <c r="BW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370"/>
      <c r="BB54" s="1370"/>
      <c r="BC54" s="1640"/>
      <c r="BD54" s="1640"/>
      <c r="BE54" s="1370"/>
      <c r="BF54" s="1370"/>
      <c r="BG54" s="1370"/>
      <c r="BH54" s="1370"/>
      <c r="BI54" s="1640"/>
      <c r="BJ54" s="1370"/>
      <c r="BK54" s="1370"/>
      <c r="BL54" s="548"/>
      <c r="BM54" s="1370"/>
      <c r="BN54" s="1370"/>
      <c r="BO54" s="1370"/>
      <c r="BP54" s="1370"/>
      <c r="BQ54" s="1370"/>
      <c r="BR54" s="1636"/>
      <c r="BS54" s="626"/>
      <c r="BT54" s="626"/>
      <c r="BU54" s="626"/>
      <c r="BV54" s="626"/>
      <c r="BW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370"/>
      <c r="BB55" s="1370"/>
      <c r="BC55" s="1640"/>
      <c r="BD55" s="1640"/>
      <c r="BE55" s="1370"/>
      <c r="BF55" s="1370"/>
      <c r="BG55" s="1370"/>
      <c r="BH55" s="1370"/>
      <c r="BI55" s="1640"/>
      <c r="BJ55" s="1370"/>
      <c r="BK55" s="1370"/>
      <c r="BL55" s="548"/>
      <c r="BM55" s="1370"/>
      <c r="BN55" s="1370"/>
      <c r="BO55" s="1370"/>
      <c r="BP55" s="1370"/>
      <c r="BQ55" s="1370"/>
      <c r="BR55" s="1636"/>
      <c r="BS55" s="626"/>
      <c r="BT55" s="626"/>
      <c r="BU55" s="626"/>
      <c r="BV55" s="626"/>
      <c r="BW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370"/>
      <c r="BB56" s="1370"/>
      <c r="BC56" s="1640"/>
      <c r="BD56" s="1640"/>
      <c r="BE56" s="1370"/>
      <c r="BF56" s="1370"/>
      <c r="BG56" s="1370"/>
      <c r="BH56" s="1370"/>
      <c r="BI56" s="1640"/>
      <c r="BJ56" s="1370"/>
      <c r="BK56" s="1370"/>
      <c r="BL56" s="548"/>
      <c r="BM56" s="1370"/>
      <c r="BN56" s="1370"/>
      <c r="BO56" s="1370"/>
      <c r="BP56" s="1370"/>
      <c r="BQ56" s="1370"/>
      <c r="BR56" s="1636"/>
      <c r="BS56" s="626"/>
      <c r="BT56" s="626"/>
      <c r="BU56" s="626"/>
      <c r="BV56" s="626"/>
      <c r="BW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370"/>
      <c r="BB57" s="1370"/>
      <c r="BC57" s="1640"/>
      <c r="BD57" s="1640"/>
      <c r="BE57" s="1370"/>
      <c r="BF57" s="1370"/>
      <c r="BG57" s="1370"/>
      <c r="BH57" s="1370"/>
      <c r="BI57" s="1640"/>
      <c r="BJ57" s="1370"/>
      <c r="BK57" s="1370"/>
      <c r="BL57" s="548"/>
      <c r="BM57" s="1370"/>
      <c r="BN57" s="1370"/>
      <c r="BO57" s="1370"/>
      <c r="BP57" s="1370"/>
      <c r="BQ57" s="1370"/>
      <c r="BR57" s="1636"/>
      <c r="BS57" s="626"/>
      <c r="BT57" s="626"/>
      <c r="BU57" s="626"/>
      <c r="BV57" s="626"/>
      <c r="BW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370"/>
      <c r="BB58" s="1370"/>
      <c r="BC58" s="1640"/>
      <c r="BD58" s="1640"/>
      <c r="BE58" s="1370"/>
      <c r="BF58" s="1370"/>
      <c r="BG58" s="1370"/>
      <c r="BH58" s="1370"/>
      <c r="BI58" s="1640"/>
      <c r="BJ58" s="1370"/>
      <c r="BK58" s="1370"/>
      <c r="BL58" s="548"/>
      <c r="BM58" s="1370"/>
      <c r="BN58" s="1370"/>
      <c r="BO58" s="1370"/>
      <c r="BP58" s="1370"/>
      <c r="BQ58" s="1370"/>
      <c r="BR58" s="1636"/>
      <c r="BS58" s="626"/>
      <c r="BT58" s="626"/>
      <c r="BU58" s="626"/>
      <c r="BV58" s="626"/>
      <c r="BW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370"/>
      <c r="BB59" s="1370"/>
      <c r="BC59" s="1640"/>
      <c r="BD59" s="1640"/>
      <c r="BE59" s="1370"/>
      <c r="BF59" s="1370"/>
      <c r="BG59" s="1370"/>
      <c r="BH59" s="1370"/>
      <c r="BI59" s="1640"/>
      <c r="BJ59" s="1370"/>
      <c r="BK59" s="1370"/>
      <c r="BL59" s="548"/>
      <c r="BM59" s="1370"/>
      <c r="BN59" s="1370"/>
      <c r="BO59" s="1370"/>
      <c r="BP59" s="1370"/>
      <c r="BQ59" s="1370"/>
      <c r="BR59" s="1636"/>
      <c r="BS59" s="626"/>
      <c r="BT59" s="626"/>
      <c r="BU59" s="626"/>
      <c r="BV59" s="626"/>
      <c r="BW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370"/>
      <c r="BB60" s="1370"/>
      <c r="BC60" s="1640"/>
      <c r="BD60" s="1640"/>
      <c r="BE60" s="1370"/>
      <c r="BF60" s="1370"/>
      <c r="BG60" s="1370"/>
      <c r="BH60" s="1370"/>
      <c r="BI60" s="1640"/>
      <c r="BJ60" s="1370"/>
      <c r="BK60" s="1370"/>
      <c r="BL60" s="548"/>
      <c r="BM60" s="1370"/>
      <c r="BN60" s="1370"/>
      <c r="BO60" s="1370"/>
      <c r="BP60" s="1370"/>
      <c r="BQ60" s="1370"/>
      <c r="BR60" s="1636"/>
      <c r="BS60" s="626"/>
      <c r="BT60" s="626"/>
      <c r="BU60" s="626"/>
      <c r="BV60" s="626"/>
      <c r="BW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370"/>
      <c r="BB61" s="1370"/>
      <c r="BC61" s="1640"/>
      <c r="BD61" s="1640"/>
      <c r="BE61" s="1370"/>
      <c r="BF61" s="1370"/>
      <c r="BG61" s="1370"/>
      <c r="BH61" s="1370"/>
      <c r="BI61" s="1640"/>
      <c r="BJ61" s="1370"/>
      <c r="BK61" s="1370"/>
      <c r="BL61" s="548"/>
      <c r="BM61" s="1370"/>
      <c r="BN61" s="1370"/>
      <c r="BO61" s="1370"/>
      <c r="BP61" s="1370"/>
      <c r="BQ61" s="1370"/>
      <c r="BR61" s="1636"/>
      <c r="BS61" s="626"/>
      <c r="BT61" s="626"/>
      <c r="BU61" s="626"/>
      <c r="BV61" s="626"/>
      <c r="BW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370"/>
      <c r="BB62" s="1370"/>
      <c r="BC62" s="1640"/>
      <c r="BD62" s="1640"/>
      <c r="BE62" s="1370"/>
      <c r="BF62" s="1370"/>
      <c r="BG62" s="1370"/>
      <c r="BH62" s="1370"/>
      <c r="BI62" s="1640"/>
      <c r="BJ62" s="1370"/>
      <c r="BK62" s="1370"/>
      <c r="BL62" s="548"/>
      <c r="BM62" s="1370"/>
      <c r="BN62" s="1370"/>
      <c r="BO62" s="1370"/>
      <c r="BP62" s="1370"/>
      <c r="BQ62" s="1370"/>
      <c r="BR62" s="1636"/>
      <c r="BS62" s="626"/>
      <c r="BT62" s="626"/>
      <c r="BU62" s="626"/>
      <c r="BV62" s="626"/>
      <c r="BW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370"/>
      <c r="BB63" s="1370"/>
      <c r="BC63" s="1640"/>
      <c r="BD63" s="1640"/>
      <c r="BE63" s="1370"/>
      <c r="BF63" s="1370"/>
      <c r="BG63" s="1370"/>
      <c r="BH63" s="1370"/>
      <c r="BI63" s="1640"/>
      <c r="BJ63" s="1370"/>
      <c r="BK63" s="1370"/>
      <c r="BL63" s="548"/>
      <c r="BM63" s="1370"/>
      <c r="BN63" s="1370"/>
      <c r="BO63" s="1370"/>
      <c r="BP63" s="1370"/>
      <c r="BQ63" s="1370"/>
      <c r="BR63" s="1636"/>
      <c r="BS63" s="626"/>
      <c r="BT63" s="626"/>
      <c r="BU63" s="626"/>
      <c r="BV63" s="626"/>
      <c r="BW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370"/>
      <c r="BB64" s="1370"/>
      <c r="BC64" s="1640"/>
      <c r="BD64" s="1640"/>
      <c r="BE64" s="1370"/>
      <c r="BF64" s="1370"/>
      <c r="BG64" s="1370"/>
      <c r="BH64" s="1370"/>
      <c r="BI64" s="1640"/>
      <c r="BJ64" s="1370"/>
      <c r="BK64" s="1370"/>
      <c r="BL64" s="548"/>
      <c r="BM64" s="1370"/>
      <c r="BN64" s="1370"/>
      <c r="BO64" s="1370"/>
      <c r="BP64" s="1370"/>
      <c r="BQ64" s="1370"/>
      <c r="BR64" s="1636"/>
      <c r="BS64" s="626"/>
      <c r="BT64" s="626"/>
      <c r="BU64" s="626"/>
      <c r="BV64" s="626"/>
      <c r="BW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370"/>
      <c r="BB65" s="1370"/>
      <c r="BC65" s="1640"/>
      <c r="BD65" s="1640"/>
      <c r="BE65" s="1370"/>
      <c r="BF65" s="1370"/>
      <c r="BG65" s="1370"/>
      <c r="BH65" s="1370"/>
      <c r="BI65" s="1640"/>
      <c r="BJ65" s="1370"/>
      <c r="BK65" s="1370"/>
      <c r="BL65" s="548"/>
      <c r="BM65" s="1370"/>
      <c r="BN65" s="1370"/>
      <c r="BO65" s="1370"/>
      <c r="BP65" s="1370"/>
      <c r="BQ65" s="1370"/>
      <c r="BR65" s="1636"/>
      <c r="BS65" s="626"/>
      <c r="BT65" s="626"/>
      <c r="BU65" s="626"/>
      <c r="BV65" s="626"/>
      <c r="BW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370"/>
      <c r="BB66" s="1370"/>
      <c r="BC66" s="1640"/>
      <c r="BD66" s="1640"/>
      <c r="BE66" s="1370"/>
      <c r="BF66" s="1370"/>
      <c r="BG66" s="1370"/>
      <c r="BH66" s="1370"/>
      <c r="BI66" s="1640"/>
      <c r="BJ66" s="1370"/>
      <c r="BK66" s="1370"/>
      <c r="BL66" s="548"/>
      <c r="BM66" s="1370"/>
      <c r="BN66" s="1370"/>
      <c r="BO66" s="1370"/>
      <c r="BP66" s="1370"/>
      <c r="BQ66" s="1370"/>
      <c r="BR66" s="1636"/>
      <c r="BS66" s="626"/>
      <c r="BT66" s="626"/>
      <c r="BU66" s="626"/>
      <c r="BV66" s="626"/>
      <c r="BW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370"/>
      <c r="BB67" s="1370"/>
      <c r="BC67" s="1640"/>
      <c r="BD67" s="1640"/>
      <c r="BE67" s="1370"/>
      <c r="BF67" s="1370"/>
      <c r="BG67" s="1370"/>
      <c r="BH67" s="1370"/>
      <c r="BI67" s="1640"/>
      <c r="BJ67" s="1370"/>
      <c r="BK67" s="1370"/>
      <c r="BL67" s="548"/>
      <c r="BM67" s="1370"/>
      <c r="BN67" s="1370"/>
      <c r="BO67" s="1370"/>
      <c r="BP67" s="1370"/>
      <c r="BQ67" s="1370"/>
      <c r="BR67" s="1636"/>
      <c r="BS67" s="626"/>
      <c r="BT67" s="626"/>
      <c r="BU67" s="626"/>
      <c r="BV67" s="626"/>
      <c r="BW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370"/>
      <c r="BB68" s="1370"/>
      <c r="BC68" s="1640"/>
      <c r="BD68" s="1640"/>
      <c r="BE68" s="1370"/>
      <c r="BF68" s="1370"/>
      <c r="BG68" s="1370"/>
      <c r="BH68" s="1370"/>
      <c r="BI68" s="1640"/>
      <c r="BJ68" s="1370"/>
      <c r="BK68" s="1370"/>
      <c r="BL68" s="548"/>
      <c r="BM68" s="1370"/>
      <c r="BN68" s="1370"/>
      <c r="BO68" s="1370"/>
      <c r="BP68" s="1370"/>
      <c r="BQ68" s="1370"/>
      <c r="BR68" s="1636"/>
      <c r="BS68" s="626"/>
      <c r="BT68" s="626"/>
      <c r="BU68" s="626"/>
      <c r="BV68" s="626"/>
      <c r="BW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370"/>
      <c r="BB69" s="1370"/>
      <c r="BC69" s="1640"/>
      <c r="BD69" s="1640"/>
      <c r="BE69" s="1370"/>
      <c r="BF69" s="1370"/>
      <c r="BG69" s="1370"/>
      <c r="BH69" s="1370"/>
      <c r="BI69" s="1640"/>
      <c r="BJ69" s="1370"/>
      <c r="BK69" s="1370"/>
      <c r="BL69" s="548"/>
      <c r="BM69" s="1370"/>
      <c r="BN69" s="1370"/>
      <c r="BO69" s="1370"/>
      <c r="BP69" s="1370"/>
      <c r="BQ69" s="1370"/>
      <c r="BR69" s="1636"/>
      <c r="BS69" s="626"/>
      <c r="BT69" s="626"/>
      <c r="BU69" s="626"/>
      <c r="BV69" s="626"/>
      <c r="BW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370"/>
      <c r="BB70" s="1370"/>
      <c r="BC70" s="1640"/>
      <c r="BD70" s="1640"/>
      <c r="BE70" s="1370"/>
      <c r="BF70" s="1370"/>
      <c r="BG70" s="1370"/>
      <c r="BH70" s="1370"/>
      <c r="BI70" s="1640"/>
      <c r="BJ70" s="1370"/>
      <c r="BK70" s="1370"/>
      <c r="BL70" s="548"/>
      <c r="BM70" s="1370"/>
      <c r="BN70" s="1370"/>
      <c r="BO70" s="1370"/>
      <c r="BP70" s="1370"/>
      <c r="BQ70" s="1370"/>
      <c r="BR70" s="1636"/>
      <c r="BS70" s="626"/>
      <c r="BT70" s="626"/>
      <c r="BU70" s="626"/>
      <c r="BV70" s="626"/>
      <c r="BW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370"/>
      <c r="BB71" s="1370"/>
      <c r="BC71" s="1640"/>
      <c r="BD71" s="1640"/>
      <c r="BE71" s="1370"/>
      <c r="BF71" s="1370"/>
      <c r="BG71" s="1370"/>
      <c r="BH71" s="1370"/>
      <c r="BI71" s="1640"/>
      <c r="BJ71" s="1370"/>
      <c r="BK71" s="1370"/>
      <c r="BL71" s="548"/>
      <c r="BM71" s="1370"/>
      <c r="BN71" s="1370"/>
      <c r="BO71" s="1370"/>
      <c r="BP71" s="1370"/>
      <c r="BQ71" s="1370"/>
      <c r="BR71" s="1636"/>
      <c r="BS71" s="626"/>
      <c r="BT71" s="626"/>
      <c r="BU71" s="626"/>
      <c r="BV71" s="626"/>
      <c r="BW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370"/>
      <c r="BB72" s="1370"/>
      <c r="BC72" s="1640"/>
      <c r="BD72" s="1640"/>
      <c r="BE72" s="1370"/>
      <c r="BF72" s="1370"/>
      <c r="BG72" s="1370"/>
      <c r="BH72" s="1370"/>
      <c r="BI72" s="1640"/>
      <c r="BJ72" s="1370"/>
      <c r="BK72" s="1370"/>
      <c r="BL72" s="548"/>
      <c r="BM72" s="1370"/>
      <c r="BN72" s="1370"/>
      <c r="BO72" s="1370"/>
      <c r="BP72" s="1370"/>
      <c r="BQ72" s="1370"/>
      <c r="BR72" s="1636"/>
      <c r="BS72" s="626"/>
      <c r="BT72" s="626"/>
      <c r="BU72" s="626"/>
      <c r="BV72" s="626"/>
      <c r="BW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370"/>
      <c r="BB73" s="1370"/>
      <c r="BC73" s="1640"/>
      <c r="BD73" s="1640"/>
      <c r="BE73" s="1370"/>
      <c r="BF73" s="1370"/>
      <c r="BG73" s="1370"/>
      <c r="BH73" s="1370"/>
      <c r="BI73" s="1640"/>
      <c r="BJ73" s="1370"/>
      <c r="BK73" s="1370"/>
      <c r="BL73" s="548"/>
      <c r="BM73" s="1370"/>
      <c r="BN73" s="1370"/>
      <c r="BO73" s="1370"/>
      <c r="BP73" s="1370"/>
      <c r="BQ73" s="1370"/>
      <c r="BR73" s="1636"/>
      <c r="BS73" s="626"/>
      <c r="BT73" s="626"/>
      <c r="BU73" s="626"/>
      <c r="BV73" s="626"/>
      <c r="BW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370"/>
      <c r="BB74" s="1370"/>
      <c r="BC74" s="1640"/>
      <c r="BD74" s="1640"/>
      <c r="BE74" s="1370"/>
      <c r="BF74" s="1370"/>
      <c r="BG74" s="1370"/>
      <c r="BH74" s="1370"/>
      <c r="BI74" s="1640"/>
      <c r="BJ74" s="1370"/>
      <c r="BK74" s="1370"/>
      <c r="BL74" s="548"/>
      <c r="BM74" s="1370"/>
      <c r="BN74" s="1370"/>
      <c r="BO74" s="1370"/>
      <c r="BP74" s="1370"/>
      <c r="BQ74" s="1370"/>
      <c r="BR74" s="1636"/>
      <c r="BS74" s="626"/>
      <c r="BT74" s="626"/>
      <c r="BU74" s="626"/>
      <c r="BV74" s="626"/>
      <c r="BW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370"/>
      <c r="BB75" s="1370"/>
      <c r="BC75" s="1640"/>
      <c r="BD75" s="1640"/>
      <c r="BE75" s="1370"/>
      <c r="BF75" s="1370"/>
      <c r="BG75" s="1370"/>
      <c r="BH75" s="1370"/>
      <c r="BI75" s="1640"/>
      <c r="BJ75" s="1370"/>
      <c r="BK75" s="1370"/>
      <c r="BL75" s="548"/>
      <c r="BM75" s="1370"/>
      <c r="BN75" s="1370"/>
      <c r="BO75" s="1370"/>
      <c r="BP75" s="1370"/>
      <c r="BQ75" s="1370"/>
      <c r="BR75" s="1636"/>
      <c r="BS75" s="626"/>
      <c r="BT75" s="626"/>
      <c r="BU75" s="626"/>
      <c r="BV75" s="626"/>
      <c r="BW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370"/>
      <c r="BB76" s="1370"/>
      <c r="BC76" s="1640"/>
      <c r="BD76" s="1640"/>
      <c r="BE76" s="1370"/>
      <c r="BF76" s="1370"/>
      <c r="BG76" s="1370"/>
      <c r="BH76" s="1370"/>
      <c r="BI76" s="1640"/>
      <c r="BJ76" s="1370"/>
      <c r="BK76" s="1370"/>
      <c r="BL76" s="548"/>
      <c r="BM76" s="1370"/>
      <c r="BN76" s="1370"/>
      <c r="BO76" s="1370"/>
      <c r="BP76" s="1370"/>
      <c r="BQ76" s="1370"/>
      <c r="BR76" s="1636"/>
      <c r="BS76" s="626"/>
      <c r="BT76" s="626"/>
      <c r="BU76" s="626"/>
      <c r="BV76" s="626"/>
      <c r="BW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370"/>
      <c r="BB77" s="1370"/>
      <c r="BC77" s="1640"/>
      <c r="BD77" s="1640"/>
      <c r="BE77" s="1370"/>
      <c r="BF77" s="1370"/>
      <c r="BG77" s="1370"/>
      <c r="BH77" s="1370"/>
      <c r="BI77" s="1640"/>
      <c r="BJ77" s="1370"/>
      <c r="BK77" s="1370"/>
      <c r="BL77" s="548"/>
      <c r="BM77" s="1370"/>
      <c r="BN77" s="1370"/>
      <c r="BO77" s="1370"/>
      <c r="BP77" s="1370"/>
      <c r="BQ77" s="1370"/>
      <c r="BR77" s="1636"/>
      <c r="BS77" s="626"/>
      <c r="BT77" s="626"/>
      <c r="BU77" s="626"/>
      <c r="BV77" s="626"/>
      <c r="BW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370"/>
      <c r="BB78" s="1370"/>
      <c r="BC78" s="1640"/>
      <c r="BD78" s="1640"/>
      <c r="BE78" s="1370"/>
      <c r="BF78" s="1370"/>
      <c r="BG78" s="1370"/>
      <c r="BH78" s="1370"/>
      <c r="BI78" s="1640"/>
      <c r="BJ78" s="1370"/>
      <c r="BK78" s="1370"/>
      <c r="BL78" s="548"/>
      <c r="BM78" s="1370"/>
      <c r="BN78" s="1370"/>
      <c r="BO78" s="1370"/>
      <c r="BP78" s="1370"/>
      <c r="BQ78" s="1370"/>
      <c r="BR78" s="1636"/>
      <c r="BS78" s="626"/>
      <c r="BT78" s="626"/>
      <c r="BU78" s="626"/>
      <c r="BV78" s="626"/>
      <c r="BW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370"/>
      <c r="BB79" s="1370"/>
      <c r="BC79" s="1640"/>
      <c r="BD79" s="1640"/>
      <c r="BE79" s="1370"/>
      <c r="BF79" s="1370"/>
      <c r="BG79" s="1370"/>
      <c r="BH79" s="1370"/>
      <c r="BI79" s="1640"/>
      <c r="BJ79" s="1370"/>
      <c r="BK79" s="1370"/>
      <c r="BL79" s="548"/>
      <c r="BM79" s="1370"/>
      <c r="BN79" s="1370"/>
      <c r="BO79" s="1370"/>
      <c r="BP79" s="1370"/>
      <c r="BQ79" s="1370"/>
      <c r="BR79" s="1636"/>
      <c r="BS79" s="626"/>
      <c r="BT79" s="626"/>
      <c r="BU79" s="626"/>
      <c r="BV79" s="626"/>
      <c r="BW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370"/>
      <c r="BB80" s="1370"/>
      <c r="BC80" s="1640"/>
      <c r="BD80" s="1640"/>
      <c r="BE80" s="1370"/>
      <c r="BF80" s="1370"/>
      <c r="BG80" s="1370"/>
      <c r="BH80" s="1370"/>
      <c r="BI80" s="1640"/>
      <c r="BJ80" s="1370"/>
      <c r="BK80" s="1370"/>
      <c r="BL80" s="548"/>
      <c r="BM80" s="1370"/>
      <c r="BN80" s="1370"/>
      <c r="BO80" s="1370"/>
      <c r="BP80" s="1370"/>
      <c r="BQ80" s="1370"/>
      <c r="BR80" s="1636"/>
      <c r="BS80" s="626"/>
      <c r="BT80" s="626"/>
      <c r="BU80" s="626"/>
      <c r="BV80" s="626"/>
      <c r="BW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370"/>
      <c r="BB81" s="1370"/>
      <c r="BC81" s="1640"/>
      <c r="BD81" s="1640"/>
      <c r="BE81" s="1370"/>
      <c r="BF81" s="1370"/>
      <c r="BG81" s="1370"/>
      <c r="BH81" s="1370"/>
      <c r="BI81" s="1640"/>
      <c r="BJ81" s="1370"/>
      <c r="BK81" s="1370"/>
      <c r="BL81" s="548"/>
      <c r="BM81" s="1370"/>
      <c r="BN81" s="1370"/>
      <c r="BO81" s="1370"/>
      <c r="BP81" s="1370"/>
      <c r="BQ81" s="1370"/>
      <c r="BR81" s="1636"/>
      <c r="BS81" s="626"/>
      <c r="BT81" s="626"/>
      <c r="BU81" s="626"/>
      <c r="BV81" s="626"/>
      <c r="BW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370"/>
      <c r="BB82" s="1370"/>
      <c r="BC82" s="1640"/>
      <c r="BD82" s="1640"/>
      <c r="BE82" s="1370"/>
      <c r="BF82" s="1370"/>
      <c r="BG82" s="1370"/>
      <c r="BH82" s="1370"/>
      <c r="BI82" s="1640"/>
      <c r="BJ82" s="1370"/>
      <c r="BK82" s="1370"/>
      <c r="BL82" s="548"/>
      <c r="BM82" s="1370"/>
      <c r="BN82" s="1370"/>
      <c r="BO82" s="1370"/>
      <c r="BP82" s="1370"/>
      <c r="BQ82" s="1370"/>
      <c r="BR82" s="1636"/>
      <c r="BS82" s="626"/>
      <c r="BT82" s="626"/>
      <c r="BU82" s="626"/>
      <c r="BV82" s="626"/>
      <c r="BW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370"/>
      <c r="BB83" s="1370"/>
      <c r="BC83" s="1640"/>
      <c r="BD83" s="1640"/>
      <c r="BE83" s="1370"/>
      <c r="BF83" s="1370"/>
      <c r="BG83" s="1370"/>
      <c r="BH83" s="1370"/>
      <c r="BI83" s="1640"/>
      <c r="BJ83" s="1370"/>
      <c r="BK83" s="1370"/>
      <c r="BL83" s="548"/>
      <c r="BM83" s="1370"/>
      <c r="BN83" s="1370"/>
      <c r="BO83" s="1370"/>
      <c r="BP83" s="1370"/>
      <c r="BQ83" s="1370"/>
      <c r="BR83" s="1636"/>
      <c r="BS83" s="626"/>
      <c r="BT83" s="626"/>
      <c r="BU83" s="626"/>
      <c r="BV83" s="626"/>
      <c r="BW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370"/>
      <c r="BB84" s="1370"/>
      <c r="BC84" s="1640"/>
      <c r="BD84" s="1640"/>
      <c r="BE84" s="1370"/>
      <c r="BF84" s="1370"/>
      <c r="BG84" s="1370"/>
      <c r="BH84" s="1370"/>
      <c r="BI84" s="1640"/>
      <c r="BJ84" s="1370"/>
      <c r="BK84" s="1370"/>
      <c r="BL84" s="548"/>
      <c r="BM84" s="1370"/>
      <c r="BN84" s="1370"/>
      <c r="BO84" s="1370"/>
      <c r="BP84" s="1370"/>
      <c r="BQ84" s="1370"/>
      <c r="BR84" s="1636"/>
      <c r="BS84" s="626"/>
      <c r="BT84" s="626"/>
      <c r="BU84" s="626"/>
      <c r="BV84" s="626"/>
      <c r="BW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370"/>
      <c r="BB85" s="1370"/>
      <c r="BC85" s="1640"/>
      <c r="BD85" s="1640"/>
      <c r="BE85" s="1370"/>
      <c r="BF85" s="1370"/>
      <c r="BG85" s="1370"/>
      <c r="BH85" s="1370"/>
      <c r="BI85" s="1640"/>
      <c r="BJ85" s="1370"/>
      <c r="BK85" s="1370"/>
      <c r="BL85" s="548"/>
      <c r="BM85" s="1370"/>
      <c r="BN85" s="1370"/>
      <c r="BO85" s="1370"/>
      <c r="BP85" s="1370"/>
      <c r="BQ85" s="1370"/>
      <c r="BR85" s="1636"/>
      <c r="BS85" s="626"/>
      <c r="BT85" s="626"/>
      <c r="BU85" s="626"/>
      <c r="BV85" s="626"/>
      <c r="BW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370"/>
      <c r="BB86" s="1370"/>
      <c r="BC86" s="1640"/>
      <c r="BD86" s="1640"/>
      <c r="BE86" s="1370"/>
      <c r="BF86" s="1370"/>
      <c r="BG86" s="1370"/>
      <c r="BH86" s="1370"/>
      <c r="BI86" s="1640"/>
      <c r="BJ86" s="1370"/>
      <c r="BK86" s="1370"/>
      <c r="BL86" s="548"/>
      <c r="BM86" s="1370"/>
      <c r="BN86" s="1370"/>
      <c r="BO86" s="1370"/>
      <c r="BP86" s="1370"/>
      <c r="BQ86" s="1370"/>
      <c r="BR86" s="1636"/>
      <c r="BS86" s="626"/>
      <c r="BT86" s="626"/>
      <c r="BU86" s="626"/>
      <c r="BV86" s="626"/>
      <c r="BW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370"/>
      <c r="BB87" s="1370"/>
      <c r="BC87" s="1640"/>
      <c r="BD87" s="1640"/>
      <c r="BE87" s="1370"/>
      <c r="BF87" s="1370"/>
      <c r="BG87" s="1370"/>
      <c r="BH87" s="1370"/>
      <c r="BI87" s="1640"/>
      <c r="BJ87" s="1370"/>
      <c r="BK87" s="1370"/>
      <c r="BL87" s="548"/>
      <c r="BM87" s="1370"/>
      <c r="BN87" s="1370"/>
      <c r="BO87" s="1370"/>
      <c r="BP87" s="1370"/>
      <c r="BQ87" s="1370"/>
      <c r="BR87" s="1636"/>
      <c r="BS87" s="626"/>
      <c r="BT87" s="626"/>
      <c r="BU87" s="626"/>
      <c r="BV87" s="626"/>
      <c r="BW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370"/>
      <c r="BB88" s="1370"/>
      <c r="BC88" s="1640"/>
      <c r="BD88" s="1640"/>
      <c r="BE88" s="1370"/>
      <c r="BF88" s="1370"/>
      <c r="BG88" s="1370"/>
      <c r="BH88" s="1370"/>
      <c r="BI88" s="1640"/>
      <c r="BJ88" s="1370"/>
      <c r="BK88" s="1370"/>
      <c r="BL88" s="548"/>
      <c r="BM88" s="1370"/>
      <c r="BN88" s="1370"/>
      <c r="BO88" s="1370"/>
      <c r="BP88" s="1370"/>
      <c r="BQ88" s="1370"/>
      <c r="BR88" s="1636"/>
      <c r="BS88" s="626"/>
      <c r="BT88" s="626"/>
      <c r="BU88" s="626"/>
      <c r="BV88" s="626"/>
      <c r="BW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370"/>
      <c r="BB89" s="1370"/>
      <c r="BC89" s="1640"/>
      <c r="BD89" s="1640"/>
      <c r="BE89" s="1370"/>
      <c r="BF89" s="1370"/>
      <c r="BG89" s="1370"/>
      <c r="BH89" s="1370"/>
      <c r="BI89" s="1640"/>
      <c r="BJ89" s="1370"/>
      <c r="BK89" s="1370"/>
      <c r="BL89" s="548"/>
      <c r="BM89" s="1370"/>
      <c r="BN89" s="1370"/>
      <c r="BO89" s="1370"/>
      <c r="BP89" s="1370"/>
      <c r="BQ89" s="1370"/>
      <c r="BR89" s="1636"/>
      <c r="BS89" s="626"/>
      <c r="BT89" s="626"/>
      <c r="BU89" s="626"/>
      <c r="BV89" s="626"/>
      <c r="BW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370"/>
      <c r="BB90" s="1370"/>
      <c r="BC90" s="1640"/>
      <c r="BD90" s="1640"/>
      <c r="BE90" s="1370"/>
      <c r="BF90" s="1370"/>
      <c r="BG90" s="1370"/>
      <c r="BH90" s="1370"/>
      <c r="BI90" s="1640"/>
      <c r="BJ90" s="1370"/>
      <c r="BK90" s="1370"/>
      <c r="BL90" s="548"/>
      <c r="BM90" s="1370"/>
      <c r="BN90" s="1370"/>
      <c r="BO90" s="1370"/>
      <c r="BP90" s="1370"/>
      <c r="BQ90" s="1370"/>
      <c r="BR90" s="1636"/>
      <c r="BS90" s="626"/>
      <c r="BT90" s="626"/>
      <c r="BU90" s="626"/>
      <c r="BV90" s="626"/>
      <c r="BW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370"/>
      <c r="BB91" s="1370"/>
      <c r="BC91" s="1640"/>
      <c r="BD91" s="1640"/>
      <c r="BE91" s="1370"/>
      <c r="BF91" s="1370"/>
      <c r="BG91" s="1370"/>
      <c r="BH91" s="1370"/>
      <c r="BI91" s="1640"/>
      <c r="BJ91" s="1370"/>
      <c r="BK91" s="1370"/>
      <c r="BL91" s="548"/>
      <c r="BM91" s="1370"/>
      <c r="BN91" s="1370"/>
      <c r="BO91" s="1370"/>
      <c r="BP91" s="1370"/>
      <c r="BQ91" s="1370"/>
      <c r="BR91" s="1636"/>
      <c r="BS91" s="626"/>
      <c r="BT91" s="626"/>
      <c r="BU91" s="626"/>
      <c r="BV91" s="626"/>
      <c r="BW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370"/>
      <c r="BB92" s="1370"/>
      <c r="BC92" s="1640"/>
      <c r="BD92" s="1640"/>
      <c r="BE92" s="1370"/>
      <c r="BF92" s="1370"/>
      <c r="BG92" s="1370"/>
      <c r="BH92" s="1370"/>
      <c r="BI92" s="1640"/>
      <c r="BJ92" s="1370"/>
      <c r="BK92" s="1370"/>
      <c r="BL92" s="548"/>
      <c r="BM92" s="1370"/>
      <c r="BN92" s="1370"/>
      <c r="BO92" s="1370"/>
      <c r="BP92" s="1370"/>
      <c r="BQ92" s="1370"/>
      <c r="BR92" s="1636"/>
      <c r="BS92" s="626"/>
      <c r="BT92" s="626"/>
      <c r="BU92" s="626"/>
      <c r="BV92" s="626"/>
      <c r="BW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370"/>
      <c r="BB93" s="1370"/>
      <c r="BC93" s="1640"/>
      <c r="BD93" s="1640"/>
      <c r="BE93" s="1370"/>
      <c r="BF93" s="1370"/>
      <c r="BG93" s="1370"/>
      <c r="BH93" s="1370"/>
      <c r="BI93" s="1640"/>
      <c r="BJ93" s="1370"/>
      <c r="BK93" s="1370"/>
      <c r="BL93" s="548"/>
      <c r="BM93" s="1370"/>
      <c r="BN93" s="1370"/>
      <c r="BO93" s="1370"/>
      <c r="BP93" s="1370"/>
      <c r="BQ93" s="1370"/>
      <c r="BR93" s="1636"/>
      <c r="BS93" s="626"/>
      <c r="BT93" s="626"/>
      <c r="BU93" s="626"/>
      <c r="BV93" s="626"/>
      <c r="BW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370"/>
      <c r="BB94" s="1370"/>
      <c r="BC94" s="1640"/>
      <c r="BD94" s="1640"/>
      <c r="BE94" s="1370"/>
      <c r="BF94" s="1370"/>
      <c r="BG94" s="1370"/>
      <c r="BH94" s="1370"/>
      <c r="BI94" s="1640"/>
      <c r="BJ94" s="1370"/>
      <c r="BK94" s="1370"/>
      <c r="BL94" s="548"/>
      <c r="BM94" s="1370"/>
      <c r="BN94" s="1370"/>
      <c r="BO94" s="1370"/>
      <c r="BP94" s="1370"/>
      <c r="BQ94" s="1370"/>
      <c r="BR94" s="1636"/>
      <c r="BS94" s="626"/>
      <c r="BT94" s="626"/>
      <c r="BU94" s="626"/>
      <c r="BV94" s="626"/>
      <c r="BW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370"/>
      <c r="BB95" s="1370"/>
      <c r="BC95" s="1640"/>
      <c r="BD95" s="1640"/>
      <c r="BE95" s="1370"/>
      <c r="BF95" s="1370"/>
      <c r="BG95" s="1370"/>
      <c r="BH95" s="1370"/>
      <c r="BI95" s="1640"/>
      <c r="BJ95" s="1370"/>
      <c r="BK95" s="1370"/>
      <c r="BL95" s="548"/>
      <c r="BM95" s="1370"/>
      <c r="BN95" s="1370"/>
      <c r="BO95" s="1370"/>
      <c r="BP95" s="1370"/>
      <c r="BQ95" s="1370"/>
      <c r="BR95" s="1636"/>
      <c r="BS95" s="626"/>
      <c r="BT95" s="626"/>
      <c r="BU95" s="626"/>
      <c r="BV95" s="626"/>
      <c r="BW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370"/>
      <c r="BB96" s="1370"/>
      <c r="BC96" s="1640"/>
      <c r="BD96" s="1640"/>
      <c r="BE96" s="1370"/>
      <c r="BF96" s="1370"/>
      <c r="BG96" s="1370"/>
      <c r="BH96" s="1370"/>
      <c r="BI96" s="1640"/>
      <c r="BJ96" s="1370"/>
      <c r="BK96" s="1370"/>
      <c r="BL96" s="548"/>
      <c r="BM96" s="1370"/>
      <c r="BN96" s="1370"/>
      <c r="BO96" s="1370"/>
      <c r="BP96" s="1370"/>
      <c r="BQ96" s="1370"/>
      <c r="BR96" s="1636"/>
      <c r="BS96" s="626"/>
      <c r="BT96" s="626"/>
      <c r="BU96" s="626"/>
      <c r="BV96" s="626"/>
      <c r="BW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370"/>
      <c r="BB97" s="1370"/>
      <c r="BC97" s="1640"/>
      <c r="BD97" s="1640"/>
      <c r="BE97" s="1370"/>
      <c r="BF97" s="1370"/>
      <c r="BG97" s="1370"/>
      <c r="BH97" s="1370"/>
      <c r="BI97" s="1640"/>
      <c r="BJ97" s="1370"/>
      <c r="BK97" s="1370"/>
      <c r="BL97" s="548"/>
      <c r="BM97" s="1370"/>
      <c r="BN97" s="1370"/>
      <c r="BO97" s="1370"/>
      <c r="BP97" s="1370"/>
      <c r="BQ97" s="1370"/>
      <c r="BR97" s="1636"/>
      <c r="BS97" s="626"/>
      <c r="BT97" s="626"/>
      <c r="BU97" s="626"/>
      <c r="BV97" s="626"/>
      <c r="BW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370"/>
      <c r="BB98" s="1370"/>
      <c r="BC98" s="1640"/>
      <c r="BD98" s="1640"/>
      <c r="BE98" s="1370"/>
      <c r="BF98" s="1370"/>
      <c r="BG98" s="1370"/>
      <c r="BH98" s="1370"/>
      <c r="BI98" s="1640"/>
      <c r="BJ98" s="1370"/>
      <c r="BK98" s="1370"/>
      <c r="BL98" s="548"/>
      <c r="BM98" s="1370"/>
      <c r="BN98" s="1370"/>
      <c r="BO98" s="1370"/>
      <c r="BP98" s="1370"/>
      <c r="BQ98" s="1370"/>
      <c r="BR98" s="1636"/>
      <c r="BS98" s="626"/>
      <c r="BT98" s="626"/>
      <c r="BU98" s="626"/>
      <c r="BV98" s="626"/>
      <c r="BW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370"/>
      <c r="BB99" s="1370"/>
      <c r="BC99" s="1640"/>
      <c r="BD99" s="1640"/>
      <c r="BE99" s="1370"/>
      <c r="BF99" s="1370"/>
      <c r="BG99" s="1370"/>
      <c r="BH99" s="1370"/>
      <c r="BI99" s="1640"/>
      <c r="BJ99" s="1370"/>
      <c r="BK99" s="1370"/>
      <c r="BL99" s="548"/>
      <c r="BM99" s="1370"/>
      <c r="BN99" s="1370"/>
      <c r="BO99" s="1370"/>
      <c r="BP99" s="1370"/>
      <c r="BQ99" s="1370"/>
      <c r="BR99" s="1636"/>
      <c r="BS99" s="626"/>
      <c r="BT99" s="626"/>
      <c r="BU99" s="626"/>
      <c r="BV99" s="626"/>
      <c r="BW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370"/>
      <c r="BB100" s="1370"/>
      <c r="BC100" s="1640"/>
      <c r="BD100" s="1640"/>
      <c r="BE100" s="1370"/>
      <c r="BF100" s="1370"/>
      <c r="BG100" s="1370"/>
      <c r="BH100" s="1370"/>
      <c r="BI100" s="1640"/>
      <c r="BJ100" s="1370"/>
      <c r="BK100" s="1370"/>
      <c r="BL100" s="548"/>
      <c r="BM100" s="1370"/>
      <c r="BN100" s="1370"/>
      <c r="BO100" s="1370"/>
      <c r="BP100" s="1370"/>
      <c r="BQ100" s="1370"/>
      <c r="BR100" s="1636"/>
      <c r="BS100" s="626"/>
      <c r="BT100" s="626"/>
      <c r="BU100" s="626"/>
      <c r="BV100" s="626"/>
      <c r="BW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370"/>
      <c r="BB101" s="1370"/>
      <c r="BC101" s="1640"/>
      <c r="BD101" s="1640"/>
      <c r="BE101" s="1370"/>
      <c r="BF101" s="1370"/>
      <c r="BG101" s="1370"/>
      <c r="BH101" s="1370"/>
      <c r="BI101" s="1640"/>
      <c r="BJ101" s="1370"/>
      <c r="BK101" s="1370"/>
      <c r="BL101" s="548"/>
      <c r="BM101" s="1370"/>
      <c r="BN101" s="1370"/>
      <c r="BO101" s="1370"/>
      <c r="BP101" s="1370"/>
      <c r="BQ101" s="1370"/>
      <c r="BR101" s="1636"/>
      <c r="BS101" s="626"/>
      <c r="BT101" s="626"/>
      <c r="BU101" s="626"/>
      <c r="BV101" s="626"/>
      <c r="BW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370"/>
      <c r="BB102" s="1370"/>
      <c r="BC102" s="1640"/>
      <c r="BD102" s="1640"/>
      <c r="BE102" s="1370"/>
      <c r="BF102" s="1370"/>
      <c r="BG102" s="1370"/>
      <c r="BH102" s="1370"/>
      <c r="BI102" s="1640"/>
      <c r="BJ102" s="1370"/>
      <c r="BK102" s="1370"/>
      <c r="BL102" s="548"/>
      <c r="BM102" s="1370"/>
      <c r="BN102" s="1370"/>
      <c r="BO102" s="1370"/>
      <c r="BP102" s="1370"/>
      <c r="BQ102" s="1370"/>
      <c r="BR102" s="1636"/>
      <c r="BS102" s="626"/>
      <c r="BT102" s="626"/>
      <c r="BU102" s="626"/>
      <c r="BV102" s="626"/>
      <c r="BW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370"/>
      <c r="BB103" s="1370"/>
      <c r="BC103" s="1640"/>
      <c r="BD103" s="1640"/>
      <c r="BE103" s="1370"/>
      <c r="BF103" s="1370"/>
      <c r="BG103" s="1370"/>
      <c r="BH103" s="1370"/>
      <c r="BI103" s="1640"/>
      <c r="BJ103" s="1370"/>
      <c r="BK103" s="1370"/>
      <c r="BL103" s="548"/>
      <c r="BM103" s="1370"/>
      <c r="BN103" s="1370"/>
      <c r="BO103" s="1370"/>
      <c r="BP103" s="1370"/>
      <c r="BQ103" s="1370"/>
      <c r="BR103" s="1636"/>
      <c r="BS103" s="626"/>
      <c r="BT103" s="626"/>
      <c r="BU103" s="626"/>
      <c r="BV103" s="626"/>
      <c r="BW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370"/>
      <c r="BB104" s="1370"/>
      <c r="BC104" s="1640"/>
      <c r="BD104" s="1640"/>
      <c r="BE104" s="1370"/>
      <c r="BF104" s="1370"/>
      <c r="BG104" s="1370"/>
      <c r="BH104" s="1370"/>
      <c r="BI104" s="1640"/>
      <c r="BJ104" s="1370"/>
      <c r="BK104" s="1370"/>
      <c r="BL104" s="548"/>
      <c r="BM104" s="1370"/>
      <c r="BN104" s="1370"/>
      <c r="BO104" s="1370"/>
      <c r="BP104" s="1370"/>
      <c r="BQ104" s="1370"/>
      <c r="BR104" s="1636"/>
      <c r="BS104" s="626"/>
      <c r="BT104" s="626"/>
      <c r="BU104" s="626"/>
      <c r="BV104" s="626"/>
      <c r="BW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370"/>
      <c r="BB105" s="1370"/>
      <c r="BC105" s="1640"/>
      <c r="BD105" s="1640"/>
      <c r="BE105" s="1370"/>
      <c r="BF105" s="1370"/>
      <c r="BG105" s="1370"/>
      <c r="BH105" s="1370"/>
      <c r="BI105" s="1640"/>
      <c r="BJ105" s="1370"/>
      <c r="BK105" s="1370"/>
      <c r="BL105" s="548"/>
      <c r="BM105" s="1370"/>
      <c r="BN105" s="1370"/>
      <c r="BO105" s="1370"/>
      <c r="BP105" s="1370"/>
      <c r="BQ105" s="1370"/>
      <c r="BR105" s="1636"/>
      <c r="BS105" s="626"/>
      <c r="BT105" s="626"/>
      <c r="BU105" s="626"/>
      <c r="BV105" s="626"/>
      <c r="BW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370"/>
      <c r="BB106" s="1370"/>
      <c r="BC106" s="1640"/>
      <c r="BD106" s="1640"/>
      <c r="BE106" s="1370"/>
      <c r="BF106" s="1370"/>
      <c r="BG106" s="1370"/>
      <c r="BH106" s="1370"/>
      <c r="BI106" s="1640"/>
      <c r="BJ106" s="1370"/>
      <c r="BK106" s="1370"/>
      <c r="BL106" s="548"/>
      <c r="BM106" s="1370"/>
      <c r="BN106" s="1370"/>
      <c r="BO106" s="1370"/>
      <c r="BP106" s="1370"/>
      <c r="BQ106" s="1370"/>
      <c r="BR106" s="1636"/>
      <c r="BS106" s="626"/>
      <c r="BT106" s="626"/>
      <c r="BU106" s="626"/>
      <c r="BV106" s="626"/>
      <c r="BW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370"/>
      <c r="BB107" s="1370"/>
      <c r="BC107" s="1640"/>
      <c r="BD107" s="1640"/>
      <c r="BE107" s="1370"/>
      <c r="BF107" s="1370"/>
      <c r="BG107" s="1370"/>
      <c r="BH107" s="1370"/>
      <c r="BI107" s="1640"/>
      <c r="BJ107" s="1370"/>
      <c r="BK107" s="1370"/>
      <c r="BL107" s="548"/>
      <c r="BM107" s="1370"/>
      <c r="BN107" s="1370"/>
      <c r="BO107" s="1370"/>
      <c r="BP107" s="1370"/>
      <c r="BQ107" s="1370"/>
      <c r="BR107" s="1636"/>
      <c r="BS107" s="626"/>
      <c r="BT107" s="626"/>
      <c r="BU107" s="626"/>
      <c r="BV107" s="626"/>
      <c r="BW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370"/>
      <c r="BB108" s="1370"/>
      <c r="BC108" s="1640"/>
      <c r="BD108" s="1640"/>
      <c r="BE108" s="1370"/>
      <c r="BF108" s="1370"/>
      <c r="BG108" s="1370"/>
      <c r="BH108" s="1370"/>
      <c r="BI108" s="1640"/>
      <c r="BJ108" s="1370"/>
      <c r="BK108" s="1370"/>
      <c r="BL108" s="548"/>
      <c r="BM108" s="1370"/>
      <c r="BN108" s="1370"/>
      <c r="BO108" s="1370"/>
      <c r="BP108" s="1370"/>
      <c r="BQ108" s="1370"/>
      <c r="BR108" s="1636"/>
      <c r="BS108" s="626"/>
      <c r="BT108" s="626"/>
      <c r="BU108" s="626"/>
      <c r="BV108" s="626"/>
      <c r="BW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370"/>
      <c r="BB109" s="1370"/>
      <c r="BC109" s="1640"/>
      <c r="BD109" s="1640"/>
      <c r="BE109" s="1370"/>
      <c r="BF109" s="1370"/>
      <c r="BG109" s="1370"/>
      <c r="BH109" s="1370"/>
      <c r="BI109" s="1640"/>
      <c r="BJ109" s="1370"/>
      <c r="BK109" s="1370"/>
      <c r="BL109" s="548"/>
      <c r="BM109" s="1370"/>
      <c r="BN109" s="1370"/>
      <c r="BO109" s="1370"/>
      <c r="BP109" s="1370"/>
      <c r="BQ109" s="1370"/>
      <c r="BR109" s="1636"/>
      <c r="BS109" s="626"/>
      <c r="BT109" s="626"/>
      <c r="BU109" s="626"/>
      <c r="BV109" s="626"/>
      <c r="BW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370"/>
      <c r="BB110" s="1370"/>
      <c r="BC110" s="1640"/>
      <c r="BD110" s="1640"/>
      <c r="BE110" s="1370"/>
      <c r="BF110" s="1370"/>
      <c r="BG110" s="1370"/>
      <c r="BH110" s="1370"/>
      <c r="BI110" s="1640"/>
      <c r="BJ110" s="1370"/>
      <c r="BK110" s="1370"/>
      <c r="BL110" s="548"/>
      <c r="BM110" s="1370"/>
      <c r="BN110" s="1370"/>
      <c r="BO110" s="1370"/>
      <c r="BP110" s="1370"/>
      <c r="BQ110" s="1370"/>
      <c r="BR110" s="1636"/>
      <c r="BS110" s="626"/>
      <c r="BT110" s="626"/>
      <c r="BU110" s="626"/>
      <c r="BV110" s="626"/>
      <c r="BW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370"/>
      <c r="BB111" s="1370"/>
      <c r="BC111" s="1640"/>
      <c r="BD111" s="1640"/>
      <c r="BE111" s="1370"/>
      <c r="BF111" s="1370"/>
      <c r="BG111" s="1370"/>
      <c r="BH111" s="1370"/>
      <c r="BI111" s="1640"/>
      <c r="BJ111" s="1370"/>
      <c r="BK111" s="1370"/>
      <c r="BL111" s="548"/>
      <c r="BM111" s="1370"/>
      <c r="BN111" s="1370"/>
      <c r="BO111" s="1370"/>
      <c r="BP111" s="1370"/>
      <c r="BQ111" s="1370"/>
      <c r="BR111" s="1636"/>
      <c r="BS111" s="626"/>
      <c r="BT111" s="626"/>
      <c r="BU111" s="626"/>
      <c r="BV111" s="626"/>
      <c r="BW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370"/>
      <c r="BB112" s="1370"/>
      <c r="BC112" s="1640"/>
      <c r="BD112" s="1640"/>
      <c r="BE112" s="1370"/>
      <c r="BF112" s="1370"/>
      <c r="BG112" s="1370"/>
      <c r="BH112" s="1370"/>
      <c r="BI112" s="1640"/>
      <c r="BJ112" s="1370"/>
      <c r="BK112" s="1370"/>
      <c r="BL112" s="548"/>
      <c r="BM112" s="1370"/>
      <c r="BN112" s="1370"/>
      <c r="BO112" s="1370"/>
      <c r="BP112" s="1370"/>
      <c r="BQ112" s="1370"/>
      <c r="BR112" s="1636"/>
      <c r="BS112" s="626"/>
      <c r="BT112" s="626"/>
      <c r="BU112" s="626"/>
      <c r="BV112" s="626"/>
      <c r="BW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370"/>
      <c r="BB113" s="1370"/>
      <c r="BC113" s="1640"/>
      <c r="BD113" s="1640"/>
      <c r="BE113" s="1370"/>
      <c r="BF113" s="1370"/>
      <c r="BG113" s="1370"/>
      <c r="BH113" s="1370"/>
      <c r="BI113" s="1640"/>
      <c r="BJ113" s="1370"/>
      <c r="BK113" s="1370"/>
      <c r="BL113" s="548"/>
      <c r="BM113" s="1370"/>
      <c r="BN113" s="1370"/>
      <c r="BO113" s="1370"/>
      <c r="BP113" s="1370"/>
      <c r="BQ113" s="1370"/>
      <c r="BR113" s="1636"/>
      <c r="BS113" s="626"/>
      <c r="BT113" s="626"/>
      <c r="BU113" s="626"/>
      <c r="BV113" s="626"/>
      <c r="BW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370"/>
      <c r="BB114" s="1370"/>
      <c r="BC114" s="1640"/>
      <c r="BD114" s="1640"/>
      <c r="BE114" s="1370"/>
      <c r="BF114" s="1370"/>
      <c r="BG114" s="1370"/>
      <c r="BH114" s="1370"/>
      <c r="BI114" s="1640"/>
      <c r="BJ114" s="1370"/>
      <c r="BK114" s="1370"/>
      <c r="BL114" s="548"/>
      <c r="BM114" s="1370"/>
      <c r="BN114" s="1370"/>
      <c r="BO114" s="1370"/>
      <c r="BP114" s="1370"/>
      <c r="BQ114" s="1370"/>
      <c r="BR114" s="1636"/>
      <c r="BS114" s="626"/>
      <c r="BT114" s="626"/>
      <c r="BU114" s="626"/>
      <c r="BV114" s="626"/>
      <c r="BW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370"/>
      <c r="BB115" s="1370"/>
      <c r="BC115" s="1640"/>
      <c r="BD115" s="1640"/>
      <c r="BE115" s="1370"/>
      <c r="BF115" s="1370"/>
      <c r="BG115" s="1370"/>
      <c r="BH115" s="1370"/>
      <c r="BI115" s="1640"/>
      <c r="BJ115" s="1370"/>
      <c r="BK115" s="1370"/>
      <c r="BL115" s="548"/>
      <c r="BM115" s="1370"/>
      <c r="BN115" s="1370"/>
      <c r="BO115" s="1370"/>
      <c r="BP115" s="1370"/>
      <c r="BQ115" s="1370"/>
      <c r="BR115" s="1636"/>
      <c r="BS115" s="626"/>
      <c r="BT115" s="626"/>
      <c r="BU115" s="626"/>
      <c r="BV115" s="626"/>
      <c r="BW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370"/>
      <c r="BB116" s="1370"/>
      <c r="BC116" s="1640"/>
      <c r="BD116" s="1640"/>
      <c r="BE116" s="1370"/>
      <c r="BF116" s="1370"/>
      <c r="BG116" s="1370"/>
      <c r="BH116" s="1370"/>
      <c r="BI116" s="1640"/>
      <c r="BJ116" s="1370"/>
      <c r="BK116" s="1370"/>
      <c r="BL116" s="548"/>
      <c r="BM116" s="1370"/>
      <c r="BN116" s="1370"/>
      <c r="BO116" s="1370"/>
      <c r="BP116" s="1370"/>
      <c r="BQ116" s="1370"/>
      <c r="BR116" s="1636"/>
      <c r="BS116" s="626"/>
      <c r="BT116" s="626"/>
      <c r="BU116" s="626"/>
      <c r="BV116" s="626"/>
      <c r="BW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370"/>
      <c r="BB117" s="1370"/>
      <c r="BC117" s="1640"/>
      <c r="BD117" s="1640"/>
      <c r="BE117" s="1370"/>
      <c r="BF117" s="1370"/>
      <c r="BG117" s="1370"/>
      <c r="BH117" s="1370"/>
      <c r="BI117" s="1640"/>
      <c r="BJ117" s="1370"/>
      <c r="BK117" s="1370"/>
      <c r="BL117" s="548"/>
      <c r="BM117" s="1370"/>
      <c r="BN117" s="1370"/>
      <c r="BO117" s="1370"/>
      <c r="BP117" s="1370"/>
      <c r="BQ117" s="1370"/>
      <c r="BR117" s="1636"/>
      <c r="BS117" s="626"/>
      <c r="BT117" s="626"/>
      <c r="BU117" s="626"/>
      <c r="BV117" s="626"/>
      <c r="BW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370"/>
      <c r="BB118" s="1370"/>
      <c r="BC118" s="1640"/>
      <c r="BD118" s="1640"/>
      <c r="BE118" s="1370"/>
      <c r="BF118" s="1370"/>
      <c r="BG118" s="1370"/>
      <c r="BH118" s="1370"/>
      <c r="BI118" s="1640"/>
      <c r="BJ118" s="1370"/>
      <c r="BK118" s="1370"/>
      <c r="BL118" s="548"/>
      <c r="BM118" s="1370"/>
      <c r="BN118" s="1370"/>
      <c r="BO118" s="1370"/>
      <c r="BP118" s="1370"/>
      <c r="BQ118" s="1370"/>
      <c r="BR118" s="1636"/>
      <c r="BS118" s="626"/>
      <c r="BT118" s="626"/>
      <c r="BU118" s="626"/>
      <c r="BV118" s="626"/>
      <c r="BW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370"/>
      <c r="BB119" s="1370"/>
      <c r="BC119" s="1640"/>
      <c r="BD119" s="1640"/>
      <c r="BE119" s="1370"/>
      <c r="BF119" s="1370"/>
      <c r="BG119" s="1370"/>
      <c r="BH119" s="1370"/>
      <c r="BI119" s="1640"/>
      <c r="BJ119" s="1370"/>
      <c r="BK119" s="1370"/>
      <c r="BL119" s="548"/>
      <c r="BM119" s="1370"/>
      <c r="BN119" s="1370"/>
      <c r="BO119" s="1370"/>
      <c r="BP119" s="1370"/>
      <c r="BQ119" s="1370"/>
      <c r="BR119" s="1636"/>
      <c r="BS119" s="626"/>
      <c r="BT119" s="626"/>
      <c r="BU119" s="626"/>
      <c r="BV119" s="626"/>
      <c r="BW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370"/>
      <c r="BB120" s="1370"/>
      <c r="BC120" s="1640"/>
      <c r="BD120" s="1640"/>
      <c r="BE120" s="1370"/>
      <c r="BF120" s="1370"/>
      <c r="BG120" s="1370"/>
      <c r="BH120" s="1370"/>
      <c r="BI120" s="1640"/>
      <c r="BJ120" s="1370"/>
      <c r="BK120" s="1370"/>
      <c r="BL120" s="548"/>
      <c r="BM120" s="1370"/>
      <c r="BN120" s="1370"/>
      <c r="BO120" s="1370"/>
      <c r="BP120" s="1370"/>
      <c r="BQ120" s="1370"/>
      <c r="BR120" s="1636"/>
      <c r="BS120" s="626"/>
      <c r="BT120" s="626"/>
      <c r="BU120" s="626"/>
      <c r="BV120" s="626"/>
      <c r="BW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370"/>
      <c r="BB121" s="1370"/>
      <c r="BC121" s="1640"/>
      <c r="BD121" s="1640"/>
      <c r="BE121" s="1370"/>
      <c r="BF121" s="1370"/>
      <c r="BG121" s="1370"/>
      <c r="BH121" s="1370"/>
      <c r="BI121" s="1640"/>
      <c r="BJ121" s="1370"/>
      <c r="BK121" s="1370"/>
      <c r="BL121" s="548"/>
      <c r="BM121" s="1370"/>
      <c r="BN121" s="1370"/>
      <c r="BO121" s="1370"/>
      <c r="BP121" s="1370"/>
      <c r="BQ121" s="1370"/>
      <c r="BR121" s="1636"/>
      <c r="BS121" s="626"/>
      <c r="BT121" s="626"/>
      <c r="BU121" s="626"/>
      <c r="BV121" s="626"/>
      <c r="BW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370"/>
      <c r="BB122" s="1370"/>
      <c r="BC122" s="1640"/>
      <c r="BD122" s="1640"/>
      <c r="BE122" s="1370"/>
      <c r="BF122" s="1370"/>
      <c r="BG122" s="1370"/>
      <c r="BH122" s="1370"/>
      <c r="BI122" s="1640"/>
      <c r="BJ122" s="1370"/>
      <c r="BK122" s="1370"/>
      <c r="BL122" s="548"/>
      <c r="BM122" s="1370"/>
      <c r="BN122" s="1370"/>
      <c r="BO122" s="1370"/>
      <c r="BP122" s="1370"/>
      <c r="BQ122" s="1370"/>
      <c r="BR122" s="1636"/>
      <c r="BS122" s="626"/>
      <c r="BT122" s="626"/>
      <c r="BU122" s="626"/>
      <c r="BV122" s="626"/>
      <c r="BW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370"/>
      <c r="BB123" s="1370"/>
      <c r="BC123" s="1640"/>
      <c r="BD123" s="1640"/>
      <c r="BE123" s="1370"/>
      <c r="BF123" s="1370"/>
      <c r="BG123" s="1370"/>
      <c r="BH123" s="1370"/>
      <c r="BI123" s="1640"/>
      <c r="BJ123" s="1370"/>
      <c r="BK123" s="1370"/>
      <c r="BL123" s="548"/>
      <c r="BM123" s="1370"/>
      <c r="BN123" s="1370"/>
      <c r="BO123" s="1370"/>
      <c r="BP123" s="1370"/>
      <c r="BQ123" s="1370"/>
      <c r="BR123" s="1636"/>
      <c r="BS123" s="626"/>
      <c r="BT123" s="626"/>
      <c r="BU123" s="626"/>
      <c r="BV123" s="626"/>
      <c r="BW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370"/>
      <c r="BB124" s="1370"/>
      <c r="BC124" s="1640"/>
      <c r="BD124" s="1640"/>
      <c r="BE124" s="1370"/>
      <c r="BF124" s="1370"/>
      <c r="BG124" s="1370"/>
      <c r="BH124" s="1370"/>
      <c r="BI124" s="1640"/>
      <c r="BJ124" s="1370"/>
      <c r="BK124" s="1370"/>
      <c r="BL124" s="548"/>
      <c r="BM124" s="1370"/>
      <c r="BN124" s="1370"/>
      <c r="BO124" s="1370"/>
      <c r="BP124" s="1370"/>
      <c r="BQ124" s="1370"/>
      <c r="BR124" s="1636"/>
      <c r="BS124" s="626"/>
      <c r="BT124" s="626"/>
      <c r="BU124" s="626"/>
      <c r="BV124" s="626"/>
      <c r="BW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370"/>
      <c r="BB125" s="1370"/>
      <c r="BC125" s="1640"/>
      <c r="BD125" s="1640"/>
      <c r="BE125" s="1370"/>
      <c r="BF125" s="1370"/>
      <c r="BG125" s="1370"/>
      <c r="BH125" s="1370"/>
      <c r="BI125" s="1640"/>
      <c r="BJ125" s="1370"/>
      <c r="BK125" s="1370"/>
      <c r="BL125" s="548"/>
      <c r="BM125" s="1370"/>
      <c r="BN125" s="1370"/>
      <c r="BO125" s="1370"/>
      <c r="BP125" s="1370"/>
      <c r="BQ125" s="1370"/>
      <c r="BR125" s="1636"/>
      <c r="BS125" s="626"/>
      <c r="BT125" s="626"/>
      <c r="BU125" s="626"/>
      <c r="BV125" s="626"/>
      <c r="BW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370"/>
      <c r="BB126" s="1370"/>
      <c r="BC126" s="1640"/>
      <c r="BD126" s="1640"/>
      <c r="BE126" s="1370"/>
      <c r="BF126" s="1370"/>
      <c r="BG126" s="1370"/>
      <c r="BH126" s="1370"/>
      <c r="BI126" s="1640"/>
      <c r="BJ126" s="1370"/>
      <c r="BK126" s="1370"/>
      <c r="BL126" s="548"/>
      <c r="BM126" s="1370"/>
      <c r="BN126" s="1370"/>
      <c r="BO126" s="1370"/>
      <c r="BP126" s="1370"/>
      <c r="BQ126" s="1370"/>
      <c r="BR126" s="1636"/>
      <c r="BS126" s="626"/>
      <c r="BT126" s="626"/>
      <c r="BU126" s="626"/>
      <c r="BV126" s="626"/>
      <c r="BW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370"/>
      <c r="BB127" s="1370"/>
      <c r="BC127" s="1640"/>
      <c r="BD127" s="1640"/>
      <c r="BE127" s="1370"/>
      <c r="BF127" s="1370"/>
      <c r="BG127" s="1370"/>
      <c r="BH127" s="1370"/>
      <c r="BI127" s="1640"/>
      <c r="BJ127" s="1370"/>
      <c r="BK127" s="1370"/>
      <c r="BL127" s="548"/>
      <c r="BM127" s="1370"/>
      <c r="BN127" s="1370"/>
      <c r="BO127" s="1370"/>
      <c r="BP127" s="1370"/>
      <c r="BQ127" s="1370"/>
      <c r="BR127" s="1636"/>
      <c r="BS127" s="626"/>
      <c r="BT127" s="626"/>
      <c r="BU127" s="626"/>
      <c r="BV127" s="626"/>
      <c r="BW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370"/>
      <c r="BB128" s="1370"/>
      <c r="BC128" s="1640"/>
      <c r="BD128" s="1640"/>
      <c r="BE128" s="1370"/>
      <c r="BF128" s="1370"/>
      <c r="BG128" s="1370"/>
      <c r="BH128" s="1370"/>
      <c r="BI128" s="1640"/>
      <c r="BJ128" s="1370"/>
      <c r="BK128" s="1370"/>
      <c r="BL128" s="548"/>
      <c r="BM128" s="1370"/>
      <c r="BN128" s="1370"/>
      <c r="BO128" s="1370"/>
      <c r="BP128" s="1370"/>
      <c r="BQ128" s="1370"/>
      <c r="BR128" s="1636"/>
      <c r="BS128" s="626"/>
      <c r="BT128" s="626"/>
      <c r="BU128" s="626"/>
      <c r="BV128" s="626"/>
      <c r="BW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370"/>
      <c r="BB129" s="1370"/>
      <c r="BC129" s="1640"/>
      <c r="BD129" s="1640"/>
      <c r="BE129" s="1370"/>
      <c r="BF129" s="1370"/>
      <c r="BG129" s="1370"/>
      <c r="BH129" s="1370"/>
      <c r="BI129" s="1640"/>
      <c r="BJ129" s="1370"/>
      <c r="BK129" s="1370"/>
      <c r="BL129" s="548"/>
      <c r="BM129" s="1370"/>
      <c r="BN129" s="1370"/>
      <c r="BO129" s="1370"/>
      <c r="BP129" s="1370"/>
      <c r="BQ129" s="1370"/>
      <c r="BR129" s="1636"/>
      <c r="BS129" s="626"/>
      <c r="BT129" s="626"/>
      <c r="BU129" s="626"/>
      <c r="BV129" s="626"/>
      <c r="BW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370"/>
      <c r="BB130" s="1370"/>
      <c r="BC130" s="1640"/>
      <c r="BD130" s="1640"/>
      <c r="BE130" s="1370"/>
      <c r="BF130" s="1370"/>
      <c r="BG130" s="1370"/>
      <c r="BH130" s="1370"/>
      <c r="BI130" s="1640"/>
      <c r="BJ130" s="1370"/>
      <c r="BK130" s="1370"/>
      <c r="BL130" s="548"/>
      <c r="BM130" s="1370"/>
      <c r="BN130" s="1370"/>
      <c r="BO130" s="1370"/>
      <c r="BP130" s="1370"/>
      <c r="BQ130" s="1370"/>
      <c r="BR130" s="1636"/>
      <c r="BS130" s="626"/>
      <c r="BT130" s="626"/>
      <c r="BU130" s="626"/>
      <c r="BV130" s="626"/>
      <c r="BW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370"/>
      <c r="BB131" s="1370"/>
      <c r="BC131" s="1640"/>
      <c r="BD131" s="1640"/>
      <c r="BE131" s="1370"/>
      <c r="BF131" s="1370"/>
      <c r="BG131" s="1370"/>
      <c r="BH131" s="1370"/>
      <c r="BI131" s="1640"/>
      <c r="BJ131" s="1370"/>
      <c r="BK131" s="1370"/>
      <c r="BL131" s="548"/>
      <c r="BM131" s="1370"/>
      <c r="BN131" s="1370"/>
      <c r="BO131" s="1370"/>
      <c r="BP131" s="1370"/>
      <c r="BQ131" s="1370"/>
      <c r="BR131" s="1636"/>
      <c r="BS131" s="626"/>
      <c r="BT131" s="626"/>
      <c r="BU131" s="626"/>
      <c r="BV131" s="626"/>
      <c r="BW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370"/>
      <c r="BB132" s="1370"/>
      <c r="BC132" s="1640"/>
      <c r="BD132" s="1640"/>
      <c r="BE132" s="1370"/>
      <c r="BF132" s="1370"/>
      <c r="BG132" s="1370"/>
      <c r="BH132" s="1370"/>
      <c r="BI132" s="1640"/>
      <c r="BJ132" s="1370"/>
      <c r="BK132" s="1370"/>
      <c r="BL132" s="548"/>
      <c r="BM132" s="1370"/>
      <c r="BN132" s="1370"/>
      <c r="BO132" s="1370"/>
      <c r="BP132" s="1370"/>
      <c r="BQ132" s="1370"/>
      <c r="BR132" s="1636"/>
      <c r="BS132" s="626"/>
      <c r="BT132" s="626"/>
      <c r="BU132" s="626"/>
      <c r="BV132" s="626"/>
      <c r="BW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370"/>
      <c r="BB133" s="1370"/>
      <c r="BC133" s="1640"/>
      <c r="BD133" s="1640"/>
      <c r="BE133" s="1370"/>
      <c r="BF133" s="1370"/>
      <c r="BG133" s="1370"/>
      <c r="BH133" s="1370"/>
      <c r="BI133" s="1640"/>
      <c r="BJ133" s="1370"/>
      <c r="BK133" s="1370"/>
      <c r="BL133" s="548"/>
      <c r="BM133" s="1370"/>
      <c r="BN133" s="1370"/>
      <c r="BO133" s="1370"/>
      <c r="BP133" s="1370"/>
      <c r="BQ133" s="1370"/>
      <c r="BR133" s="1636"/>
      <c r="BS133" s="626"/>
      <c r="BT133" s="626"/>
      <c r="BU133" s="626"/>
      <c r="BV133" s="626"/>
      <c r="BW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370"/>
      <c r="BB134" s="1370"/>
      <c r="BC134" s="1640"/>
      <c r="BD134" s="1640"/>
      <c r="BE134" s="1370"/>
      <c r="BF134" s="1370"/>
      <c r="BG134" s="1370"/>
      <c r="BH134" s="1370"/>
      <c r="BI134" s="1640"/>
      <c r="BJ134" s="1370"/>
      <c r="BK134" s="1370"/>
      <c r="BL134" s="548"/>
      <c r="BM134" s="1370"/>
      <c r="BN134" s="1370"/>
      <c r="BO134" s="1370"/>
      <c r="BP134" s="1370"/>
      <c r="BQ134" s="1370"/>
      <c r="BR134" s="1636"/>
      <c r="BS134" s="626"/>
      <c r="BT134" s="626"/>
      <c r="BU134" s="626"/>
      <c r="BV134" s="626"/>
      <c r="BW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370"/>
      <c r="BB135" s="1370"/>
      <c r="BC135" s="1640"/>
      <c r="BD135" s="1640"/>
      <c r="BE135" s="1370"/>
      <c r="BF135" s="1370"/>
      <c r="BG135" s="1370"/>
      <c r="BH135" s="1370"/>
      <c r="BI135" s="1640"/>
      <c r="BJ135" s="1370"/>
      <c r="BK135" s="1370"/>
      <c r="BL135" s="548"/>
      <c r="BM135" s="1370"/>
      <c r="BN135" s="1370"/>
      <c r="BO135" s="1370"/>
      <c r="BP135" s="1370"/>
      <c r="BQ135" s="1370"/>
      <c r="BR135" s="1636"/>
      <c r="BS135" s="626"/>
      <c r="BT135" s="626"/>
      <c r="BU135" s="626"/>
      <c r="BV135" s="626"/>
      <c r="BW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370"/>
      <c r="BB136" s="1370"/>
      <c r="BC136" s="1640"/>
      <c r="BD136" s="1640"/>
      <c r="BE136" s="1370"/>
      <c r="BF136" s="1370"/>
      <c r="BG136" s="1370"/>
      <c r="BH136" s="1370"/>
      <c r="BI136" s="1640"/>
      <c r="BJ136" s="1370"/>
      <c r="BK136" s="1370"/>
      <c r="BL136" s="548"/>
      <c r="BM136" s="1370"/>
      <c r="BN136" s="1370"/>
      <c r="BO136" s="1370"/>
      <c r="BP136" s="1370"/>
      <c r="BQ136" s="1370"/>
      <c r="BR136" s="1636"/>
      <c r="BS136" s="626"/>
      <c r="BT136" s="626"/>
      <c r="BU136" s="626"/>
      <c r="BV136" s="626"/>
      <c r="BW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370"/>
      <c r="BB137" s="1370"/>
      <c r="BC137" s="1640"/>
      <c r="BD137" s="1640"/>
      <c r="BE137" s="1370"/>
      <c r="BF137" s="1370"/>
      <c r="BG137" s="1370"/>
      <c r="BH137" s="1370"/>
      <c r="BI137" s="1640"/>
      <c r="BJ137" s="1370"/>
      <c r="BK137" s="1370"/>
      <c r="BL137" s="548"/>
      <c r="BM137" s="1370"/>
      <c r="BN137" s="1370"/>
      <c r="BO137" s="1370"/>
      <c r="BP137" s="1370"/>
      <c r="BQ137" s="1370"/>
      <c r="BR137" s="1636"/>
      <c r="BS137" s="626"/>
      <c r="BT137" s="626"/>
      <c r="BU137" s="626"/>
      <c r="BV137" s="626"/>
      <c r="BW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370"/>
      <c r="BB138" s="1370"/>
      <c r="BC138" s="1640"/>
      <c r="BD138" s="1640"/>
      <c r="BE138" s="1370"/>
      <c r="BF138" s="1370"/>
      <c r="BG138" s="1370"/>
      <c r="BH138" s="1370"/>
      <c r="BI138" s="1640"/>
      <c r="BJ138" s="1370"/>
      <c r="BK138" s="1370"/>
      <c r="BL138" s="548"/>
      <c r="BM138" s="1370"/>
      <c r="BN138" s="1370"/>
      <c r="BO138" s="1370"/>
      <c r="BP138" s="1370"/>
      <c r="BQ138" s="1370"/>
      <c r="BR138" s="1636"/>
      <c r="BS138" s="626"/>
      <c r="BT138" s="626"/>
      <c r="BU138" s="626"/>
      <c r="BV138" s="626"/>
      <c r="BW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370"/>
      <c r="BB139" s="1370"/>
      <c r="BC139" s="1640"/>
      <c r="BD139" s="1640"/>
      <c r="BE139" s="1370"/>
      <c r="BF139" s="1370"/>
      <c r="BG139" s="1370"/>
      <c r="BH139" s="1370"/>
      <c r="BI139" s="1640"/>
      <c r="BJ139" s="1370"/>
      <c r="BK139" s="1370"/>
      <c r="BL139" s="548"/>
      <c r="BM139" s="1370"/>
      <c r="BN139" s="1370"/>
      <c r="BO139" s="1370"/>
      <c r="BP139" s="1370"/>
      <c r="BQ139" s="1370"/>
      <c r="BR139" s="1636"/>
      <c r="BS139" s="626"/>
      <c r="BT139" s="626"/>
      <c r="BU139" s="626"/>
      <c r="BV139" s="626"/>
      <c r="BW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370"/>
      <c r="BB140" s="1370"/>
      <c r="BC140" s="1640"/>
      <c r="BD140" s="1640"/>
      <c r="BE140" s="1370"/>
      <c r="BF140" s="1370"/>
      <c r="BG140" s="1370"/>
      <c r="BH140" s="1370"/>
      <c r="BI140" s="1640"/>
      <c r="BJ140" s="1370"/>
      <c r="BK140" s="1370"/>
      <c r="BL140" s="548"/>
      <c r="BM140" s="1370"/>
      <c r="BN140" s="1370"/>
      <c r="BO140" s="1370"/>
      <c r="BP140" s="1370"/>
      <c r="BQ140" s="1370"/>
      <c r="BR140" s="1636"/>
      <c r="BS140" s="626"/>
      <c r="BT140" s="626"/>
      <c r="BU140" s="626"/>
      <c r="BV140" s="626"/>
      <c r="BW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370"/>
      <c r="BB141" s="1370"/>
      <c r="BC141" s="1640"/>
      <c r="BD141" s="1640"/>
      <c r="BE141" s="1370"/>
      <c r="BF141" s="1370"/>
      <c r="BG141" s="1370"/>
      <c r="BH141" s="1370"/>
      <c r="BI141" s="1640"/>
      <c r="BJ141" s="1370"/>
      <c r="BK141" s="1370"/>
      <c r="BL141" s="548"/>
      <c r="BM141" s="1370"/>
      <c r="BN141" s="1370"/>
      <c r="BO141" s="1370"/>
      <c r="BP141" s="1370"/>
      <c r="BQ141" s="1370"/>
      <c r="BR141" s="1636"/>
      <c r="BS141" s="626"/>
      <c r="BT141" s="626"/>
      <c r="BU141" s="626"/>
      <c r="BV141" s="626"/>
      <c r="BW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370"/>
      <c r="BB142" s="1370"/>
      <c r="BC142" s="1640"/>
      <c r="BD142" s="1640"/>
      <c r="BE142" s="1370"/>
      <c r="BF142" s="1370"/>
      <c r="BG142" s="1370"/>
      <c r="BH142" s="1370"/>
      <c r="BI142" s="1640"/>
      <c r="BJ142" s="1370"/>
      <c r="BK142" s="1370"/>
      <c r="BL142" s="548"/>
      <c r="BM142" s="1370"/>
      <c r="BN142" s="1370"/>
      <c r="BO142" s="1370"/>
      <c r="BP142" s="1370"/>
      <c r="BQ142" s="1370"/>
      <c r="BR142" s="1636"/>
      <c r="BS142" s="626"/>
      <c r="BT142" s="626"/>
      <c r="BU142" s="626"/>
      <c r="BV142" s="626"/>
      <c r="BW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370"/>
      <c r="BB143" s="1370"/>
      <c r="BC143" s="1640"/>
      <c r="BD143" s="1640"/>
      <c r="BE143" s="1370"/>
      <c r="BF143" s="1370"/>
      <c r="BG143" s="1370"/>
      <c r="BH143" s="1370"/>
      <c r="BI143" s="1640"/>
      <c r="BJ143" s="1370"/>
      <c r="BK143" s="1370"/>
      <c r="BL143" s="548"/>
      <c r="BM143" s="1370"/>
      <c r="BN143" s="1370"/>
      <c r="BO143" s="1370"/>
      <c r="BP143" s="1370"/>
      <c r="BQ143" s="1370"/>
      <c r="BR143" s="1636"/>
      <c r="BS143" s="626"/>
      <c r="BT143" s="626"/>
      <c r="BU143" s="626"/>
      <c r="BV143" s="626"/>
      <c r="BW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370"/>
      <c r="BB144" s="1370"/>
      <c r="BC144" s="1640"/>
      <c r="BD144" s="1640"/>
      <c r="BE144" s="1370"/>
      <c r="BF144" s="1370"/>
      <c r="BG144" s="1370"/>
      <c r="BH144" s="1370"/>
      <c r="BI144" s="1640"/>
      <c r="BJ144" s="1370"/>
      <c r="BK144" s="1370"/>
      <c r="BL144" s="548"/>
      <c r="BM144" s="1370"/>
      <c r="BN144" s="1370"/>
      <c r="BO144" s="1370"/>
      <c r="BP144" s="1370"/>
      <c r="BQ144" s="1370"/>
      <c r="BR144" s="1636"/>
      <c r="BS144" s="626"/>
      <c r="BT144" s="626"/>
      <c r="BU144" s="626"/>
      <c r="BV144" s="626"/>
      <c r="BW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370"/>
      <c r="BB145" s="1370"/>
      <c r="BC145" s="1640"/>
      <c r="BD145" s="1640"/>
      <c r="BE145" s="1370"/>
      <c r="BF145" s="1370"/>
      <c r="BG145" s="1370"/>
      <c r="BH145" s="1370"/>
      <c r="BI145" s="1640"/>
      <c r="BJ145" s="1370"/>
      <c r="BK145" s="1370"/>
      <c r="BL145" s="548"/>
      <c r="BM145" s="1370"/>
      <c r="BN145" s="1370"/>
      <c r="BO145" s="1370"/>
      <c r="BP145" s="1370"/>
      <c r="BQ145" s="1370"/>
      <c r="BR145" s="1636"/>
      <c r="BS145" s="626"/>
      <c r="BT145" s="626"/>
      <c r="BU145" s="626"/>
      <c r="BV145" s="626"/>
      <c r="BW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370"/>
      <c r="BB146" s="1370"/>
      <c r="BC146" s="1640"/>
      <c r="BD146" s="1640"/>
      <c r="BE146" s="1370"/>
      <c r="BF146" s="1370"/>
      <c r="BG146" s="1370"/>
      <c r="BH146" s="1370"/>
      <c r="BI146" s="1640"/>
      <c r="BJ146" s="1370"/>
      <c r="BK146" s="1370"/>
      <c r="BL146" s="548"/>
      <c r="BM146" s="1370"/>
      <c r="BN146" s="1370"/>
      <c r="BO146" s="1370"/>
      <c r="BP146" s="1370"/>
      <c r="BQ146" s="1370"/>
      <c r="BR146" s="1636"/>
      <c r="BS146" s="626"/>
      <c r="BT146" s="626"/>
      <c r="BU146" s="626"/>
      <c r="BV146" s="626"/>
      <c r="BW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370"/>
      <c r="BB147" s="1370"/>
      <c r="BC147" s="1640"/>
      <c r="BD147" s="1640"/>
      <c r="BE147" s="1370"/>
      <c r="BF147" s="1370"/>
      <c r="BG147" s="1370"/>
      <c r="BH147" s="1370"/>
      <c r="BI147" s="1640"/>
      <c r="BJ147" s="1370"/>
      <c r="BK147" s="1370"/>
      <c r="BL147" s="548"/>
      <c r="BM147" s="1370"/>
      <c r="BN147" s="1370"/>
      <c r="BO147" s="1370"/>
      <c r="BP147" s="1370"/>
      <c r="BQ147" s="1370"/>
      <c r="BR147" s="1636"/>
      <c r="BS147" s="626"/>
      <c r="BT147" s="626"/>
      <c r="BU147" s="626"/>
      <c r="BV147" s="626"/>
      <c r="BW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370"/>
      <c r="BB148" s="1370"/>
      <c r="BC148" s="1640"/>
      <c r="BD148" s="1640"/>
      <c r="BE148" s="1370"/>
      <c r="BF148" s="1370"/>
      <c r="BG148" s="1370"/>
      <c r="BH148" s="1370"/>
      <c r="BI148" s="1640"/>
      <c r="BJ148" s="1370"/>
      <c r="BK148" s="1370"/>
      <c r="BL148" s="548"/>
      <c r="BM148" s="1370"/>
      <c r="BN148" s="1370"/>
      <c r="BO148" s="1370"/>
      <c r="BP148" s="1370"/>
      <c r="BQ148" s="1370"/>
      <c r="BR148" s="1636"/>
      <c r="BS148" s="626"/>
      <c r="BT148" s="626"/>
      <c r="BU148" s="626"/>
      <c r="BV148" s="626"/>
      <c r="BW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370"/>
      <c r="BB149" s="1370"/>
      <c r="BC149" s="1640"/>
      <c r="BD149" s="1640"/>
      <c r="BE149" s="1370"/>
      <c r="BF149" s="1370"/>
      <c r="BG149" s="1370"/>
      <c r="BH149" s="1370"/>
      <c r="BI149" s="1640"/>
      <c r="BJ149" s="1370"/>
      <c r="BK149" s="1370"/>
      <c r="BL149" s="548"/>
      <c r="BM149" s="1370"/>
      <c r="BN149" s="1370"/>
      <c r="BO149" s="1370"/>
      <c r="BP149" s="1370"/>
      <c r="BQ149" s="1370"/>
      <c r="BR149" s="1636"/>
      <c r="BS149" s="626"/>
      <c r="BT149" s="626"/>
      <c r="BU149" s="626"/>
      <c r="BV149" s="626"/>
      <c r="BW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370"/>
      <c r="BB150" s="1370"/>
      <c r="BC150" s="1640"/>
      <c r="BD150" s="1640"/>
      <c r="BE150" s="1370"/>
      <c r="BF150" s="1370"/>
      <c r="BG150" s="1370"/>
      <c r="BH150" s="1370"/>
      <c r="BI150" s="1640"/>
      <c r="BJ150" s="1370"/>
      <c r="BK150" s="1370"/>
      <c r="BL150" s="548"/>
      <c r="BM150" s="1370"/>
      <c r="BN150" s="1370"/>
      <c r="BO150" s="1370"/>
      <c r="BP150" s="1370"/>
      <c r="BQ150" s="1370"/>
      <c r="BR150" s="1636"/>
      <c r="BS150" s="626"/>
      <c r="BT150" s="626"/>
      <c r="BU150" s="626"/>
      <c r="BV150" s="626"/>
      <c r="BW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370"/>
      <c r="BB151" s="1370"/>
      <c r="BC151" s="1640"/>
      <c r="BD151" s="1640"/>
      <c r="BE151" s="1370"/>
      <c r="BF151" s="1370"/>
      <c r="BG151" s="1370"/>
      <c r="BH151" s="1370"/>
      <c r="BI151" s="1640"/>
      <c r="BJ151" s="1370"/>
      <c r="BK151" s="1370"/>
      <c r="BL151" s="548"/>
      <c r="BM151" s="1370"/>
      <c r="BN151" s="1370"/>
      <c r="BO151" s="1370"/>
      <c r="BP151" s="1370"/>
      <c r="BQ151" s="1370"/>
      <c r="BR151" s="1636"/>
      <c r="BS151" s="626"/>
      <c r="BT151" s="626"/>
      <c r="BU151" s="626"/>
      <c r="BV151" s="626"/>
      <c r="BW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370"/>
      <c r="BB152" s="1370"/>
      <c r="BC152" s="1640"/>
      <c r="BD152" s="1640"/>
      <c r="BE152" s="1370"/>
      <c r="BF152" s="1370"/>
      <c r="BG152" s="1370"/>
      <c r="BH152" s="1370"/>
      <c r="BI152" s="1640"/>
      <c r="BJ152" s="1370"/>
      <c r="BK152" s="1370"/>
      <c r="BL152" s="548"/>
      <c r="BM152" s="1370"/>
      <c r="BN152" s="1370"/>
      <c r="BO152" s="1370"/>
      <c r="BP152" s="1370"/>
      <c r="BQ152" s="1370"/>
      <c r="BR152" s="1636"/>
      <c r="BS152" s="626"/>
      <c r="BT152" s="626"/>
      <c r="BU152" s="626"/>
      <c r="BV152" s="626"/>
      <c r="BW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370"/>
      <c r="BB153" s="1370"/>
      <c r="BC153" s="1640"/>
      <c r="BD153" s="1640"/>
      <c r="BE153" s="1370"/>
      <c r="BF153" s="1370"/>
      <c r="BG153" s="1370"/>
      <c r="BH153" s="1370"/>
      <c r="BI153" s="1640"/>
      <c r="BJ153" s="1370"/>
      <c r="BK153" s="1370"/>
      <c r="BL153" s="548"/>
      <c r="BM153" s="1370"/>
      <c r="BN153" s="1370"/>
      <c r="BO153" s="1370"/>
      <c r="BP153" s="1370"/>
      <c r="BQ153" s="1370"/>
      <c r="BR153" s="1636"/>
      <c r="BS153" s="626"/>
      <c r="BT153" s="626"/>
      <c r="BU153" s="626"/>
      <c r="BV153" s="626"/>
      <c r="BW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370"/>
      <c r="BB154" s="1370"/>
      <c r="BC154" s="1640"/>
      <c r="BD154" s="1640"/>
      <c r="BE154" s="1370"/>
      <c r="BF154" s="1370"/>
      <c r="BG154" s="1370"/>
      <c r="BH154" s="1370"/>
      <c r="BI154" s="1640"/>
      <c r="BJ154" s="1370"/>
      <c r="BK154" s="1370"/>
      <c r="BL154" s="548"/>
      <c r="BM154" s="1370"/>
      <c r="BN154" s="1370"/>
      <c r="BO154" s="1370"/>
      <c r="BP154" s="1370"/>
      <c r="BQ154" s="1370"/>
      <c r="BR154" s="1636"/>
      <c r="BS154" s="626"/>
      <c r="BT154" s="626"/>
      <c r="BU154" s="626"/>
      <c r="BV154" s="626"/>
      <c r="BW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370"/>
      <c r="BB155" s="1370"/>
      <c r="BC155" s="1640"/>
      <c r="BD155" s="1640"/>
      <c r="BE155" s="1370"/>
      <c r="BF155" s="1370"/>
      <c r="BG155" s="1370"/>
      <c r="BH155" s="1370"/>
      <c r="BI155" s="1640"/>
      <c r="BJ155" s="1370"/>
      <c r="BK155" s="1370"/>
      <c r="BL155" s="548"/>
      <c r="BM155" s="1370"/>
      <c r="BN155" s="1370"/>
      <c r="BO155" s="1370"/>
      <c r="BP155" s="1370"/>
      <c r="BQ155" s="1370"/>
      <c r="BR155" s="1636"/>
      <c r="BS155" s="626"/>
      <c r="BT155" s="626"/>
      <c r="BU155" s="626"/>
      <c r="BV155" s="626"/>
      <c r="BW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370"/>
      <c r="BB156" s="1370"/>
      <c r="BC156" s="1640"/>
      <c r="BD156" s="1640"/>
      <c r="BE156" s="1370"/>
      <c r="BF156" s="1370"/>
      <c r="BG156" s="1370"/>
      <c r="BH156" s="1370"/>
      <c r="BI156" s="1640"/>
      <c r="BJ156" s="1370"/>
      <c r="BK156" s="1370"/>
      <c r="BL156" s="548"/>
      <c r="BM156" s="1370"/>
      <c r="BN156" s="1370"/>
      <c r="BO156" s="1370"/>
      <c r="BP156" s="1370"/>
      <c r="BQ156" s="1370"/>
      <c r="BR156" s="1636"/>
      <c r="BS156" s="626"/>
      <c r="BT156" s="626"/>
      <c r="BU156" s="626"/>
      <c r="BV156" s="626"/>
      <c r="BW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370"/>
      <c r="BB157" s="1370"/>
      <c r="BC157" s="1640"/>
      <c r="BD157" s="1640"/>
      <c r="BE157" s="1370"/>
      <c r="BF157" s="1370"/>
      <c r="BG157" s="1370"/>
      <c r="BH157" s="1370"/>
      <c r="BI157" s="1640"/>
      <c r="BJ157" s="1370"/>
      <c r="BK157" s="1370"/>
      <c r="BL157" s="548"/>
      <c r="BM157" s="1370"/>
      <c r="BN157" s="1370"/>
      <c r="BO157" s="1370"/>
      <c r="BP157" s="1370"/>
      <c r="BQ157" s="1370"/>
      <c r="BR157" s="1636"/>
      <c r="BS157" s="626"/>
      <c r="BT157" s="626"/>
      <c r="BU157" s="626"/>
      <c r="BV157" s="626"/>
      <c r="BW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370"/>
      <c r="BB158" s="1370"/>
      <c r="BC158" s="1640"/>
      <c r="BD158" s="1640"/>
      <c r="BE158" s="1370"/>
      <c r="BF158" s="1370"/>
      <c r="BG158" s="1370"/>
      <c r="BH158" s="1370"/>
      <c r="BI158" s="1640"/>
      <c r="BJ158" s="1370"/>
      <c r="BK158" s="1370"/>
      <c r="BL158" s="548"/>
      <c r="BM158" s="1370"/>
      <c r="BN158" s="1370"/>
      <c r="BO158" s="1370"/>
      <c r="BP158" s="1370"/>
      <c r="BQ158" s="1370"/>
      <c r="BR158" s="1636"/>
      <c r="BS158" s="626"/>
      <c r="BT158" s="626"/>
      <c r="BU158" s="626"/>
      <c r="BV158" s="626"/>
      <c r="BW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370"/>
      <c r="BB159" s="1370"/>
      <c r="BC159" s="1640"/>
      <c r="BD159" s="1640"/>
      <c r="BE159" s="1370"/>
      <c r="BF159" s="1370"/>
      <c r="BG159" s="1370"/>
      <c r="BH159" s="1370"/>
      <c r="BI159" s="1640"/>
      <c r="BJ159" s="1370"/>
      <c r="BK159" s="1370"/>
      <c r="BL159" s="548"/>
      <c r="BM159" s="1370"/>
      <c r="BN159" s="1370"/>
      <c r="BO159" s="1370"/>
      <c r="BP159" s="1370"/>
      <c r="BQ159" s="1370"/>
      <c r="BR159" s="1636"/>
      <c r="BS159" s="626"/>
      <c r="BT159" s="626"/>
      <c r="BU159" s="626"/>
      <c r="BV159" s="626"/>
      <c r="BW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370"/>
      <c r="BB160" s="1370"/>
      <c r="BC160" s="1640"/>
      <c r="BD160" s="1640"/>
      <c r="BE160" s="1370"/>
      <c r="BF160" s="1370"/>
      <c r="BG160" s="1370"/>
      <c r="BH160" s="1370"/>
      <c r="BI160" s="1640"/>
      <c r="BJ160" s="1370"/>
      <c r="BK160" s="1370"/>
      <c r="BL160" s="548"/>
      <c r="BM160" s="1370"/>
      <c r="BN160" s="1370"/>
      <c r="BO160" s="1370"/>
      <c r="BP160" s="1370"/>
      <c r="BQ160" s="1370"/>
      <c r="BR160" s="1636"/>
      <c r="BS160" s="626"/>
      <c r="BT160" s="626"/>
      <c r="BU160" s="626"/>
      <c r="BV160" s="626"/>
      <c r="BW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370"/>
      <c r="BB161" s="1370"/>
      <c r="BC161" s="1640"/>
      <c r="BD161" s="1640"/>
      <c r="BE161" s="1370"/>
      <c r="BF161" s="1370"/>
      <c r="BG161" s="1370"/>
      <c r="BH161" s="1370"/>
      <c r="BI161" s="1640"/>
      <c r="BJ161" s="1370"/>
      <c r="BK161" s="1370"/>
      <c r="BL161" s="548"/>
      <c r="BM161" s="1370"/>
      <c r="BN161" s="1370"/>
      <c r="BO161" s="1370"/>
      <c r="BP161" s="1370"/>
      <c r="BQ161" s="1370"/>
      <c r="BR161" s="1636"/>
      <c r="BS161" s="626"/>
      <c r="BT161" s="626"/>
      <c r="BU161" s="626"/>
      <c r="BV161" s="626"/>
      <c r="BW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370"/>
      <c r="BB162" s="1370"/>
      <c r="BC162" s="1640"/>
      <c r="BD162" s="1640"/>
      <c r="BE162" s="1370"/>
      <c r="BF162" s="1370"/>
      <c r="BG162" s="1370"/>
      <c r="BH162" s="1370"/>
      <c r="BI162" s="1640"/>
      <c r="BJ162" s="1370"/>
      <c r="BK162" s="1370"/>
      <c r="BL162" s="548"/>
      <c r="BM162" s="1370"/>
      <c r="BN162" s="1370"/>
      <c r="BO162" s="1370"/>
      <c r="BP162" s="1370"/>
      <c r="BQ162" s="1370"/>
      <c r="BR162" s="1636"/>
      <c r="BS162" s="626"/>
      <c r="BT162" s="626"/>
      <c r="BU162" s="626"/>
      <c r="BV162" s="626"/>
      <c r="BW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370"/>
      <c r="BB163" s="1370"/>
      <c r="BC163" s="1640"/>
      <c r="BD163" s="1640"/>
      <c r="BE163" s="1370"/>
      <c r="BF163" s="1370"/>
      <c r="BG163" s="1370"/>
      <c r="BH163" s="1370"/>
      <c r="BI163" s="1640"/>
      <c r="BJ163" s="1370"/>
      <c r="BK163" s="1370"/>
      <c r="BL163" s="548"/>
      <c r="BM163" s="1370"/>
      <c r="BN163" s="1370"/>
      <c r="BO163" s="1370"/>
      <c r="BP163" s="1370"/>
      <c r="BQ163" s="1370"/>
      <c r="BR163" s="1636"/>
      <c r="BS163" s="626"/>
      <c r="BT163" s="626"/>
      <c r="BU163" s="626"/>
      <c r="BV163" s="626"/>
      <c r="BW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370"/>
      <c r="BB164" s="1370"/>
      <c r="BC164" s="1640"/>
      <c r="BD164" s="1640"/>
      <c r="BE164" s="1370"/>
      <c r="BF164" s="1370"/>
      <c r="BG164" s="1370"/>
      <c r="BH164" s="1370"/>
      <c r="BI164" s="1640"/>
      <c r="BJ164" s="1370"/>
      <c r="BK164" s="1370"/>
      <c r="BL164" s="548"/>
      <c r="BM164" s="1370"/>
      <c r="BN164" s="1370"/>
      <c r="BO164" s="1370"/>
      <c r="BP164" s="1370"/>
      <c r="BQ164" s="1370"/>
      <c r="BR164" s="1636"/>
      <c r="BS164" s="626"/>
      <c r="BT164" s="626"/>
      <c r="BU164" s="626"/>
      <c r="BV164" s="626"/>
      <c r="BW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370"/>
      <c r="BB165" s="1370"/>
      <c r="BC165" s="1640"/>
      <c r="BD165" s="1640"/>
      <c r="BE165" s="1370"/>
      <c r="BF165" s="1370"/>
      <c r="BG165" s="1370"/>
      <c r="BH165" s="1370"/>
      <c r="BI165" s="1640"/>
      <c r="BJ165" s="1370"/>
      <c r="BK165" s="1370"/>
      <c r="BL165" s="548"/>
      <c r="BM165" s="1370"/>
      <c r="BN165" s="1370"/>
      <c r="BO165" s="1370"/>
      <c r="BP165" s="1370"/>
      <c r="BQ165" s="1370"/>
      <c r="BR165" s="1636"/>
      <c r="BS165" s="626"/>
      <c r="BT165" s="626"/>
      <c r="BU165" s="626"/>
      <c r="BV165" s="626"/>
      <c r="BW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370"/>
      <c r="BB166" s="1370"/>
      <c r="BC166" s="1640"/>
      <c r="BD166" s="1640"/>
      <c r="BE166" s="1370"/>
      <c r="BF166" s="1370"/>
      <c r="BG166" s="1370"/>
      <c r="BH166" s="1370"/>
      <c r="BI166" s="1640"/>
      <c r="BJ166" s="1370"/>
      <c r="BK166" s="1370"/>
      <c r="BL166" s="548"/>
      <c r="BM166" s="1370"/>
      <c r="BN166" s="1370"/>
      <c r="BO166" s="1370"/>
      <c r="BP166" s="1370"/>
      <c r="BQ166" s="1370"/>
      <c r="BR166" s="1636"/>
      <c r="BS166" s="626"/>
      <c r="BT166" s="626"/>
      <c r="BU166" s="626"/>
      <c r="BV166" s="626"/>
      <c r="BW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370"/>
      <c r="BB167" s="1370"/>
      <c r="BC167" s="1640"/>
      <c r="BD167" s="1640"/>
      <c r="BE167" s="1370"/>
      <c r="BF167" s="1370"/>
      <c r="BG167" s="1370"/>
      <c r="BH167" s="1370"/>
      <c r="BI167" s="1640"/>
      <c r="BJ167" s="1370"/>
      <c r="BK167" s="1370"/>
      <c r="BL167" s="548"/>
      <c r="BM167" s="1370"/>
      <c r="BN167" s="1370"/>
      <c r="BO167" s="1370"/>
      <c r="BP167" s="1370"/>
      <c r="BQ167" s="1370"/>
      <c r="BR167" s="1636"/>
      <c r="BS167" s="626"/>
      <c r="BT167" s="626"/>
      <c r="BU167" s="626"/>
      <c r="BV167" s="626"/>
      <c r="BW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370"/>
      <c r="BB168" s="1370"/>
      <c r="BC168" s="1640"/>
      <c r="BD168" s="1640"/>
      <c r="BE168" s="1370"/>
      <c r="BF168" s="1370"/>
      <c r="BG168" s="1370"/>
      <c r="BH168" s="1370"/>
      <c r="BI168" s="1640"/>
      <c r="BJ168" s="1370"/>
      <c r="BK168" s="1370"/>
      <c r="BL168" s="548"/>
      <c r="BM168" s="1370"/>
      <c r="BN168" s="1370"/>
      <c r="BO168" s="1370"/>
      <c r="BP168" s="1370"/>
      <c r="BQ168" s="1370"/>
      <c r="BR168" s="1636"/>
      <c r="BS168" s="626"/>
      <c r="BT168" s="626"/>
      <c r="BU168" s="626"/>
      <c r="BV168" s="626"/>
      <c r="BW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370"/>
      <c r="BB169" s="1370"/>
      <c r="BC169" s="1640"/>
      <c r="BD169" s="1640"/>
      <c r="BE169" s="1370"/>
      <c r="BF169" s="1370"/>
      <c r="BG169" s="1370"/>
      <c r="BH169" s="1370"/>
      <c r="BI169" s="1640"/>
      <c r="BJ169" s="1370"/>
      <c r="BK169" s="1370"/>
      <c r="BL169" s="548"/>
      <c r="BM169" s="1370"/>
      <c r="BN169" s="1370"/>
      <c r="BO169" s="1370"/>
      <c r="BP169" s="1370"/>
      <c r="BQ169" s="1370"/>
      <c r="BR169" s="1636"/>
      <c r="BS169" s="626"/>
      <c r="BT169" s="626"/>
      <c r="BU169" s="626"/>
      <c r="BV169" s="626"/>
      <c r="BW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370"/>
      <c r="BB170" s="1370"/>
      <c r="BC170" s="1640"/>
      <c r="BD170" s="1640"/>
      <c r="BE170" s="1370"/>
      <c r="BF170" s="1370"/>
      <c r="BG170" s="1370"/>
      <c r="BH170" s="1370"/>
      <c r="BI170" s="1640"/>
      <c r="BJ170" s="1370"/>
      <c r="BK170" s="1370"/>
      <c r="BL170" s="548"/>
      <c r="BM170" s="1370"/>
      <c r="BN170" s="1370"/>
      <c r="BO170" s="1370"/>
      <c r="BP170" s="1370"/>
      <c r="BQ170" s="1370"/>
      <c r="BR170" s="1636"/>
      <c r="BS170" s="626"/>
      <c r="BT170" s="626"/>
      <c r="BU170" s="626"/>
      <c r="BV170" s="626"/>
      <c r="BW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370"/>
      <c r="BB171" s="1370"/>
      <c r="BC171" s="1640"/>
      <c r="BD171" s="1640"/>
      <c r="BE171" s="1370"/>
      <c r="BF171" s="1370"/>
      <c r="BG171" s="1370"/>
      <c r="BH171" s="1370"/>
      <c r="BI171" s="1640"/>
      <c r="BJ171" s="1370"/>
      <c r="BK171" s="1370"/>
      <c r="BL171" s="548"/>
      <c r="BM171" s="1370"/>
      <c r="BN171" s="1370"/>
      <c r="BO171" s="1370"/>
      <c r="BP171" s="1370"/>
      <c r="BQ171" s="1370"/>
      <c r="BR171" s="1636"/>
      <c r="BS171" s="626"/>
      <c r="BT171" s="626"/>
      <c r="BU171" s="626"/>
      <c r="BV171" s="626"/>
      <c r="BW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370"/>
      <c r="BB172" s="1370"/>
      <c r="BC172" s="1640"/>
      <c r="BD172" s="1640"/>
      <c r="BE172" s="1370"/>
      <c r="BF172" s="1370"/>
      <c r="BG172" s="1370"/>
      <c r="BH172" s="1370"/>
      <c r="BI172" s="1640"/>
      <c r="BJ172" s="1370"/>
      <c r="BK172" s="1370"/>
      <c r="BL172" s="548"/>
      <c r="BM172" s="1370"/>
      <c r="BN172" s="1370"/>
      <c r="BO172" s="1370"/>
      <c r="BP172" s="1370"/>
      <c r="BQ172" s="1370"/>
      <c r="BR172" s="1636"/>
      <c r="BS172" s="626"/>
      <c r="BT172" s="626"/>
      <c r="BU172" s="626"/>
      <c r="BV172" s="626"/>
      <c r="BW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370"/>
      <c r="BB173" s="1370"/>
      <c r="BC173" s="1640"/>
      <c r="BD173" s="1640"/>
      <c r="BE173" s="1370"/>
      <c r="BF173" s="1370"/>
      <c r="BG173" s="1370"/>
      <c r="BH173" s="1370"/>
      <c r="BI173" s="1640"/>
      <c r="BJ173" s="1370"/>
      <c r="BK173" s="1370"/>
      <c r="BL173" s="548"/>
      <c r="BM173" s="1370"/>
      <c r="BN173" s="1370"/>
      <c r="BO173" s="1370"/>
      <c r="BP173" s="1370"/>
      <c r="BQ173" s="1370"/>
      <c r="BR173" s="1636"/>
      <c r="BS173" s="626"/>
      <c r="BT173" s="626"/>
      <c r="BU173" s="626"/>
      <c r="BV173" s="626"/>
      <c r="BW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370"/>
      <c r="BB174" s="1370"/>
      <c r="BC174" s="1640"/>
      <c r="BD174" s="1640"/>
      <c r="BE174" s="1370"/>
      <c r="BF174" s="1370"/>
      <c r="BG174" s="1370"/>
      <c r="BH174" s="1370"/>
      <c r="BI174" s="1640"/>
      <c r="BJ174" s="1370"/>
      <c r="BK174" s="1370"/>
      <c r="BL174" s="548"/>
      <c r="BM174" s="1370"/>
      <c r="BN174" s="1370"/>
      <c r="BO174" s="1370"/>
      <c r="BP174" s="1370"/>
      <c r="BQ174" s="1370"/>
      <c r="BR174" s="1636"/>
      <c r="BS174" s="626"/>
      <c r="BT174" s="626"/>
      <c r="BU174" s="626"/>
      <c r="BV174" s="626"/>
      <c r="BW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370"/>
      <c r="BB175" s="1370"/>
      <c r="BC175" s="1640"/>
      <c r="BD175" s="1640"/>
      <c r="BE175" s="1370"/>
      <c r="BF175" s="1370"/>
      <c r="BG175" s="1370"/>
      <c r="BH175" s="1370"/>
      <c r="BI175" s="1640"/>
      <c r="BJ175" s="1370"/>
      <c r="BK175" s="1370"/>
      <c r="BL175" s="548"/>
      <c r="BM175" s="1370"/>
      <c r="BN175" s="1370"/>
      <c r="BO175" s="1370"/>
      <c r="BP175" s="1370"/>
      <c r="BQ175" s="1370"/>
      <c r="BR175" s="1636"/>
      <c r="BS175" s="626"/>
      <c r="BT175" s="626"/>
      <c r="BU175" s="626"/>
      <c r="BV175" s="626"/>
      <c r="BW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370"/>
      <c r="BB176" s="1370"/>
      <c r="BC176" s="1640"/>
      <c r="BD176" s="1640"/>
      <c r="BE176" s="1370"/>
      <c r="BF176" s="1370"/>
      <c r="BG176" s="1370"/>
      <c r="BH176" s="1370"/>
      <c r="BI176" s="1640"/>
      <c r="BJ176" s="1370"/>
      <c r="BK176" s="1370"/>
      <c r="BL176" s="548"/>
      <c r="BM176" s="1370"/>
      <c r="BN176" s="1370"/>
      <c r="BO176" s="1370"/>
      <c r="BP176" s="1370"/>
      <c r="BQ176" s="1370"/>
      <c r="BR176" s="1636"/>
      <c r="BS176" s="626"/>
      <c r="BT176" s="626"/>
      <c r="BU176" s="626"/>
      <c r="BV176" s="626"/>
      <c r="BW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370"/>
      <c r="BB177" s="1370"/>
      <c r="BC177" s="1640"/>
      <c r="BD177" s="1640"/>
      <c r="BE177" s="1370"/>
      <c r="BF177" s="1370"/>
      <c r="BG177" s="1370"/>
      <c r="BH177" s="1370"/>
      <c r="BI177" s="1640"/>
      <c r="BJ177" s="1370"/>
      <c r="BK177" s="1370"/>
      <c r="BL177" s="548"/>
      <c r="BM177" s="1370"/>
      <c r="BN177" s="1370"/>
      <c r="BO177" s="1370"/>
      <c r="BP177" s="1370"/>
      <c r="BQ177" s="1370"/>
      <c r="BR177" s="1636"/>
      <c r="BS177" s="626"/>
      <c r="BT177" s="626"/>
      <c r="BU177" s="626"/>
      <c r="BV177" s="626"/>
      <c r="BW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370"/>
      <c r="BB178" s="1370"/>
      <c r="BC178" s="1640"/>
      <c r="BD178" s="1640"/>
      <c r="BE178" s="1370"/>
      <c r="BF178" s="1370"/>
      <c r="BG178" s="1370"/>
      <c r="BH178" s="1370"/>
      <c r="BI178" s="1640"/>
      <c r="BJ178" s="1370"/>
      <c r="BK178" s="1370"/>
      <c r="BL178" s="548"/>
      <c r="BM178" s="1370"/>
      <c r="BN178" s="1370"/>
      <c r="BO178" s="1370"/>
      <c r="BP178" s="1370"/>
      <c r="BQ178" s="1370"/>
      <c r="BR178" s="1636"/>
      <c r="BS178" s="626"/>
      <c r="BT178" s="626"/>
      <c r="BU178" s="626"/>
      <c r="BV178" s="626"/>
      <c r="BW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370"/>
      <c r="BB179" s="1370"/>
      <c r="BC179" s="1640"/>
      <c r="BD179" s="1640"/>
      <c r="BE179" s="1370"/>
      <c r="BF179" s="1370"/>
      <c r="BG179" s="1370"/>
      <c r="BH179" s="1370"/>
      <c r="BI179" s="1640"/>
      <c r="BJ179" s="1370"/>
      <c r="BK179" s="1370"/>
      <c r="BL179" s="548"/>
      <c r="BM179" s="1370"/>
      <c r="BN179" s="1370"/>
      <c r="BO179" s="1370"/>
      <c r="BP179" s="1370"/>
      <c r="BQ179" s="1370"/>
      <c r="BR179" s="1636"/>
      <c r="BS179" s="626"/>
      <c r="BT179" s="626"/>
      <c r="BU179" s="626"/>
      <c r="BV179" s="626"/>
      <c r="BW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370"/>
      <c r="BB180" s="1370"/>
      <c r="BC180" s="1640"/>
      <c r="BD180" s="1640"/>
      <c r="BE180" s="1370"/>
      <c r="BF180" s="1370"/>
      <c r="BG180" s="1370"/>
      <c r="BH180" s="1370"/>
      <c r="BI180" s="1640"/>
      <c r="BJ180" s="1370"/>
      <c r="BK180" s="1370"/>
      <c r="BL180" s="548"/>
      <c r="BM180" s="1370"/>
      <c r="BN180" s="1370"/>
      <c r="BO180" s="1370"/>
      <c r="BP180" s="1370"/>
      <c r="BQ180" s="1370"/>
      <c r="BR180" s="1636"/>
      <c r="BS180" s="626"/>
      <c r="BT180" s="626"/>
      <c r="BU180" s="626"/>
      <c r="BV180" s="626"/>
      <c r="BW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370"/>
      <c r="BB181" s="1370"/>
      <c r="BC181" s="1640"/>
      <c r="BD181" s="1640"/>
      <c r="BE181" s="1370"/>
      <c r="BF181" s="1370"/>
      <c r="BG181" s="1370"/>
      <c r="BH181" s="1370"/>
      <c r="BI181" s="1640"/>
      <c r="BJ181" s="1370"/>
      <c r="BK181" s="1370"/>
      <c r="BL181" s="548"/>
      <c r="BM181" s="1370"/>
      <c r="BN181" s="1370"/>
      <c r="BO181" s="1370"/>
      <c r="BP181" s="1370"/>
      <c r="BQ181" s="1370"/>
      <c r="BR181" s="1636"/>
      <c r="BS181" s="626"/>
      <c r="BT181" s="626"/>
      <c r="BU181" s="626"/>
      <c r="BV181" s="626"/>
      <c r="BW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370"/>
      <c r="BB182" s="1370"/>
      <c r="BC182" s="1640"/>
      <c r="BD182" s="1640"/>
      <c r="BE182" s="1370"/>
      <c r="BF182" s="1370"/>
      <c r="BG182" s="1370"/>
      <c r="BH182" s="1370"/>
      <c r="BI182" s="1640"/>
      <c r="BJ182" s="1370"/>
      <c r="BK182" s="1370"/>
      <c r="BL182" s="548"/>
      <c r="BM182" s="1370"/>
      <c r="BN182" s="1370"/>
      <c r="BO182" s="1370"/>
      <c r="BP182" s="1370"/>
      <c r="BQ182" s="1370"/>
      <c r="BR182" s="1636"/>
      <c r="BS182" s="626"/>
      <c r="BT182" s="626"/>
      <c r="BU182" s="626"/>
      <c r="BV182" s="626"/>
      <c r="BW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370"/>
      <c r="BB183" s="1370"/>
      <c r="BC183" s="1640"/>
      <c r="BD183" s="1640"/>
      <c r="BE183" s="1370"/>
      <c r="BF183" s="1370"/>
      <c r="BG183" s="1370"/>
      <c r="BH183" s="1370"/>
      <c r="BI183" s="1640"/>
      <c r="BJ183" s="1370"/>
      <c r="BK183" s="1370"/>
      <c r="BL183" s="548"/>
      <c r="BM183" s="1370"/>
      <c r="BN183" s="1370"/>
      <c r="BO183" s="1370"/>
      <c r="BP183" s="1370"/>
      <c r="BQ183" s="1370"/>
      <c r="BR183" s="1636"/>
      <c r="BS183" s="626"/>
      <c r="BT183" s="626"/>
      <c r="BU183" s="626"/>
      <c r="BV183" s="626"/>
      <c r="BW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370"/>
      <c r="BB184" s="1370"/>
      <c r="BC184" s="1640"/>
      <c r="BD184" s="1640"/>
      <c r="BE184" s="1370"/>
      <c r="BF184" s="1370"/>
      <c r="BG184" s="1370"/>
      <c r="BH184" s="1370"/>
      <c r="BI184" s="1640"/>
      <c r="BJ184" s="1370"/>
      <c r="BK184" s="1370"/>
      <c r="BL184" s="548"/>
      <c r="BM184" s="1370"/>
      <c r="BN184" s="1370"/>
      <c r="BO184" s="1370"/>
      <c r="BP184" s="1370"/>
      <c r="BQ184" s="1370"/>
      <c r="BR184" s="1636"/>
      <c r="BS184" s="626"/>
      <c r="BT184" s="626"/>
      <c r="BU184" s="626"/>
      <c r="BV184" s="626"/>
      <c r="BW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370"/>
      <c r="BB185" s="1370"/>
      <c r="BC185" s="1640"/>
      <c r="BD185" s="1640"/>
      <c r="BE185" s="1370"/>
      <c r="BF185" s="1370"/>
      <c r="BG185" s="1370"/>
      <c r="BH185" s="1370"/>
      <c r="BI185" s="1640"/>
      <c r="BJ185" s="1370"/>
      <c r="BK185" s="1370"/>
      <c r="BL185" s="548"/>
      <c r="BM185" s="1370"/>
      <c r="BN185" s="1370"/>
      <c r="BO185" s="1370"/>
      <c r="BP185" s="1370"/>
      <c r="BQ185" s="1370"/>
      <c r="BR185" s="1636"/>
      <c r="BS185" s="626"/>
      <c r="BT185" s="626"/>
      <c r="BU185" s="626"/>
      <c r="BV185" s="626"/>
      <c r="BW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370"/>
      <c r="BB186" s="1370"/>
      <c r="BC186" s="1640"/>
      <c r="BD186" s="1640"/>
      <c r="BE186" s="1370"/>
      <c r="BF186" s="1370"/>
      <c r="BG186" s="1370"/>
      <c r="BH186" s="1370"/>
      <c r="BI186" s="1640"/>
      <c r="BJ186" s="1370"/>
      <c r="BK186" s="1370"/>
      <c r="BL186" s="548"/>
      <c r="BM186" s="1370"/>
      <c r="BN186" s="1370"/>
      <c r="BO186" s="1370"/>
      <c r="BP186" s="1370"/>
      <c r="BQ186" s="1370"/>
      <c r="BR186" s="1636"/>
      <c r="BS186" s="626"/>
      <c r="BT186" s="626"/>
      <c r="BU186" s="626"/>
      <c r="BV186" s="626"/>
      <c r="BW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370"/>
      <c r="BB187" s="1370"/>
      <c r="BC187" s="1640"/>
      <c r="BD187" s="1640"/>
      <c r="BE187" s="1370"/>
      <c r="BF187" s="1370"/>
      <c r="BG187" s="1370"/>
      <c r="BH187" s="1370"/>
      <c r="BI187" s="1640"/>
      <c r="BJ187" s="1370"/>
      <c r="BK187" s="1370"/>
      <c r="BL187" s="548"/>
      <c r="BM187" s="1370"/>
      <c r="BN187" s="1370"/>
      <c r="BO187" s="1370"/>
      <c r="BP187" s="1370"/>
      <c r="BQ187" s="1370"/>
      <c r="BR187" s="1636"/>
      <c r="BS187" s="626"/>
      <c r="BT187" s="626"/>
      <c r="BU187" s="626"/>
      <c r="BV187" s="626"/>
      <c r="BW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370"/>
      <c r="BB188" s="1370"/>
      <c r="BC188" s="1640"/>
      <c r="BD188" s="1640"/>
      <c r="BE188" s="1370"/>
      <c r="BF188" s="1370"/>
      <c r="BG188" s="1370"/>
      <c r="BH188" s="1370"/>
      <c r="BI188" s="1640"/>
      <c r="BJ188" s="1370"/>
      <c r="BK188" s="1370"/>
      <c r="BL188" s="548"/>
      <c r="BM188" s="1370"/>
      <c r="BN188" s="1370"/>
      <c r="BO188" s="1370"/>
      <c r="BP188" s="1370"/>
      <c r="BQ188" s="1370"/>
      <c r="BR188" s="1636"/>
      <c r="BS188" s="626"/>
      <c r="BT188" s="626"/>
      <c r="BU188" s="626"/>
      <c r="BV188" s="626"/>
      <c r="BW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370"/>
      <c r="BB189" s="1370"/>
      <c r="BC189" s="1640"/>
      <c r="BD189" s="1640"/>
      <c r="BE189" s="1370"/>
      <c r="BF189" s="1370"/>
      <c r="BG189" s="1370"/>
      <c r="BH189" s="1370"/>
      <c r="BI189" s="1640"/>
      <c r="BJ189" s="1370"/>
      <c r="BK189" s="1370"/>
      <c r="BL189" s="548"/>
      <c r="BM189" s="1370"/>
      <c r="BN189" s="1370"/>
      <c r="BO189" s="1370"/>
      <c r="BP189" s="1370"/>
      <c r="BQ189" s="1370"/>
      <c r="BR189" s="1636"/>
      <c r="BS189" s="626"/>
      <c r="BT189" s="626"/>
      <c r="BU189" s="626"/>
      <c r="BV189" s="626"/>
      <c r="BW189" s="1645">
        <v>11</v>
      </c>
    </row>
    <row customHeight="1" ht="11.54999999999999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BW190" s="1635">
        <v>11</v>
      </c>
    </row>
    <row customHeight="1" ht="11.549999999999999">
      <c r="N191" s="1639"/>
      <c r="O191" s="1639"/>
      <c r="P191" s="1639"/>
      <c r="Q191" s="1639"/>
      <c r="R191" s="1639"/>
      <c r="S191" s="1639"/>
      <c r="T191" s="1639"/>
      <c r="U191" s="1639"/>
      <c r="V191" s="1639"/>
      <c r="W191" s="1639"/>
      <c r="X191" s="1639"/>
      <c r="Y191" s="1639"/>
      <c r="Z191" s="1639"/>
      <c r="AA191" s="1639"/>
      <c r="AB191" s="1639"/>
      <c r="AC191" s="1639"/>
      <c r="AD191" s="1639"/>
      <c r="AE191" s="1639"/>
      <c r="AF191" s="1639"/>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BW191" s="1635">
        <v>11</v>
      </c>
    </row>
    <row customHeight="1" ht="11.549999999999999">
      <c r="N192" s="1639"/>
      <c r="O192" s="1639"/>
      <c r="P192" s="1639"/>
      <c r="Q192" s="1639"/>
      <c r="R192" s="1639"/>
      <c r="S192" s="1639"/>
      <c r="T192" s="1639"/>
      <c r="U192" s="1639"/>
      <c r="V192" s="1639"/>
      <c r="W192" s="1639"/>
      <c r="X192" s="1639"/>
      <c r="Y192" s="1639"/>
      <c r="Z192" s="1639"/>
      <c r="AA192" s="1639"/>
      <c r="AB192" s="1639"/>
      <c r="AC192" s="1639"/>
      <c r="AD192" s="1639"/>
      <c r="AE192" s="1639"/>
      <c r="AF192" s="1639"/>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BW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9"/>
      <c r="AC193" s="1639"/>
      <c r="AD193" s="1639"/>
      <c r="AE193" s="1639"/>
      <c r="AF193" s="1639"/>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5"/>
      <c r="BB193" s="1635"/>
      <c r="BE193" s="1635"/>
      <c r="BF193" s="1635"/>
      <c r="BG193" s="1635"/>
      <c r="BH193" s="1635"/>
      <c r="BJ193" s="1635"/>
      <c r="BK193" s="1635"/>
      <c r="BL193" s="1635"/>
      <c r="BM193" s="1635"/>
      <c r="BN193" s="1635"/>
      <c r="BO193" s="1635"/>
      <c r="BP193" s="1635"/>
      <c r="BQ193" s="1635"/>
      <c r="BR193" s="1635"/>
      <c r="BS193" s="1635"/>
      <c r="BT193" s="1635"/>
      <c r="BU193" s="1635"/>
      <c r="BV193" s="1635"/>
      <c r="BW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9"/>
      <c r="AC194" s="1639"/>
      <c r="AD194" s="1639"/>
      <c r="AE194" s="1639"/>
      <c r="AF194" s="1639"/>
      <c r="AG194" s="1639"/>
      <c r="AH194" s="1639"/>
      <c r="AI194" s="1639"/>
      <c r="AJ194" s="1639"/>
      <c r="AK194" s="1639"/>
      <c r="AL194" s="1639"/>
      <c r="AM194" s="1639"/>
      <c r="AN194" s="1639"/>
      <c r="AO194" s="1639"/>
      <c r="AP194" s="1639"/>
      <c r="AQ194" s="1639"/>
      <c r="AR194" s="1639"/>
      <c r="AS194" s="1639"/>
      <c r="AT194" s="1639"/>
      <c r="AU194" s="1639"/>
      <c r="AV194" s="1639"/>
      <c r="AW194" s="1639"/>
      <c r="AX194" s="1639"/>
      <c r="AY194" s="1639"/>
      <c r="AZ194" s="1635"/>
      <c r="BB194" s="1635"/>
      <c r="BE194" s="1635"/>
      <c r="BF194" s="1635"/>
      <c r="BG194" s="1635"/>
      <c r="BH194" s="1635"/>
      <c r="BJ194" s="1635"/>
      <c r="BK194" s="1635"/>
      <c r="BL194" s="1635"/>
      <c r="BM194" s="1635"/>
      <c r="BN194" s="1635"/>
      <c r="BO194" s="1635"/>
      <c r="BP194" s="1635"/>
      <c r="BQ194" s="1635"/>
      <c r="BR194" s="1635"/>
      <c r="BS194" s="1635"/>
      <c r="BT194" s="1635"/>
      <c r="BU194" s="1635"/>
      <c r="BV194" s="1635"/>
      <c r="BW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639"/>
      <c r="AI195" s="1639"/>
      <c r="AJ195" s="1639"/>
      <c r="AK195" s="1639"/>
      <c r="AL195" s="1639"/>
      <c r="AM195" s="1639"/>
      <c r="AN195" s="1639"/>
      <c r="AO195" s="1639"/>
      <c r="AP195" s="1639"/>
      <c r="AQ195" s="1639"/>
      <c r="AR195" s="1639"/>
      <c r="AS195" s="1639"/>
      <c r="AT195" s="1639"/>
      <c r="AU195" s="1639"/>
      <c r="AV195" s="1639"/>
      <c r="AW195" s="1639"/>
      <c r="AX195" s="1639"/>
      <c r="AY195" s="1639"/>
      <c r="AZ195" s="1635"/>
      <c r="BB195" s="1635"/>
      <c r="BE195" s="1635"/>
      <c r="BF195" s="1635"/>
      <c r="BG195" s="1635"/>
      <c r="BH195" s="1635"/>
      <c r="BJ195" s="1635"/>
      <c r="BK195" s="1635"/>
      <c r="BL195" s="1635"/>
      <c r="BM195" s="1635"/>
      <c r="BN195" s="1635"/>
      <c r="BO195" s="1635"/>
      <c r="BP195" s="1635"/>
      <c r="BQ195" s="1635"/>
      <c r="BR195" s="1635"/>
      <c r="BS195" s="1635"/>
      <c r="BT195" s="1635"/>
      <c r="BU195" s="1635"/>
      <c r="BV195" s="1635"/>
      <c r="BW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5"/>
      <c r="BB196" s="1635"/>
      <c r="BE196" s="1635"/>
      <c r="BF196" s="1635"/>
      <c r="BG196" s="1635"/>
      <c r="BH196" s="1635"/>
      <c r="BJ196" s="1635"/>
      <c r="BK196" s="1635"/>
      <c r="BL196" s="1635"/>
      <c r="BM196" s="1635"/>
      <c r="BN196" s="1635"/>
      <c r="BO196" s="1635"/>
      <c r="BP196" s="1635"/>
      <c r="BQ196" s="1635"/>
      <c r="BR196" s="1635"/>
      <c r="BS196" s="1635"/>
      <c r="BT196" s="1635"/>
      <c r="BU196" s="1635"/>
      <c r="BV196" s="1635"/>
      <c r="BW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5"/>
      <c r="BB197" s="1635"/>
      <c r="BE197" s="1635"/>
      <c r="BF197" s="1635"/>
      <c r="BG197" s="1635"/>
      <c r="BH197" s="1635"/>
      <c r="BJ197" s="1635"/>
      <c r="BK197" s="1635"/>
      <c r="BL197" s="1635"/>
      <c r="BM197" s="1635"/>
      <c r="BN197" s="1635"/>
      <c r="BO197" s="1635"/>
      <c r="BP197" s="1635"/>
      <c r="BQ197" s="1635"/>
      <c r="BR197" s="1635"/>
      <c r="BS197" s="1635"/>
      <c r="BT197" s="1635"/>
      <c r="BU197" s="1635"/>
      <c r="BV197" s="1635"/>
      <c r="BW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5"/>
      <c r="BB198" s="1635"/>
      <c r="BE198" s="1635"/>
      <c r="BF198" s="1635"/>
      <c r="BG198" s="1635"/>
      <c r="BH198" s="1635"/>
      <c r="BJ198" s="1635"/>
      <c r="BK198" s="1635"/>
      <c r="BL198" s="1635"/>
      <c r="BM198" s="1635"/>
      <c r="BN198" s="1635"/>
      <c r="BO198" s="1635"/>
      <c r="BP198" s="1635"/>
      <c r="BQ198" s="1635"/>
      <c r="BR198" s="1635"/>
      <c r="BS198" s="1635"/>
      <c r="BT198" s="1635"/>
      <c r="BU198" s="1635"/>
      <c r="BV198" s="1635"/>
      <c r="BW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5"/>
      <c r="BB199" s="1635"/>
      <c r="BE199" s="1635"/>
      <c r="BF199" s="1635"/>
      <c r="BG199" s="1635"/>
      <c r="BH199" s="1635"/>
      <c r="BJ199" s="1635"/>
      <c r="BK199" s="1635"/>
      <c r="BL199" s="1635"/>
      <c r="BM199" s="1635"/>
      <c r="BN199" s="1635"/>
      <c r="BO199" s="1635"/>
      <c r="BP199" s="1635"/>
      <c r="BQ199" s="1635"/>
      <c r="BR199" s="1635"/>
      <c r="BS199" s="1635"/>
      <c r="BT199" s="1635"/>
      <c r="BU199" s="1635"/>
      <c r="BV199" s="1635"/>
      <c r="BW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5"/>
      <c r="BB200" s="1635"/>
      <c r="BE200" s="1635"/>
      <c r="BF200" s="1635"/>
      <c r="BG200" s="1635"/>
      <c r="BH200" s="1635"/>
      <c r="BJ200" s="1635"/>
      <c r="BK200" s="1635"/>
      <c r="BL200" s="1635"/>
      <c r="BM200" s="1635"/>
      <c r="BN200" s="1635"/>
      <c r="BO200" s="1635"/>
      <c r="BP200" s="1635"/>
      <c r="BQ200" s="1635"/>
      <c r="BR200" s="1635"/>
      <c r="BS200" s="1635"/>
      <c r="BT200" s="1635"/>
      <c r="BU200" s="1635"/>
      <c r="BV200" s="1635"/>
      <c r="BW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5"/>
      <c r="BB201" s="1635"/>
      <c r="BE201" s="1635"/>
      <c r="BF201" s="1635"/>
      <c r="BG201" s="1635"/>
      <c r="BH201" s="1635"/>
      <c r="BJ201" s="1635"/>
      <c r="BK201" s="1635"/>
      <c r="BL201" s="1635"/>
      <c r="BM201" s="1635"/>
      <c r="BN201" s="1635"/>
      <c r="BO201" s="1635"/>
      <c r="BP201" s="1635"/>
      <c r="BQ201" s="1635"/>
      <c r="BR201" s="1635"/>
      <c r="BS201" s="1635"/>
      <c r="BT201" s="1635"/>
      <c r="BU201" s="1635"/>
      <c r="BV201" s="1635"/>
      <c r="BW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5"/>
      <c r="BB202" s="1635"/>
      <c r="BE202" s="1635"/>
      <c r="BF202" s="1635"/>
      <c r="BG202" s="1635"/>
      <c r="BH202" s="1635"/>
      <c r="BJ202" s="1635"/>
      <c r="BK202" s="1635"/>
      <c r="BL202" s="1635"/>
      <c r="BM202" s="1635"/>
      <c r="BN202" s="1635"/>
      <c r="BO202" s="1635"/>
      <c r="BP202" s="1635"/>
      <c r="BQ202" s="1635"/>
      <c r="BR202" s="1635"/>
      <c r="BS202" s="1635"/>
      <c r="BT202" s="1635"/>
      <c r="BU202" s="1635"/>
      <c r="BV202" s="1635"/>
      <c r="BW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5"/>
      <c r="BB203" s="1635"/>
      <c r="BE203" s="1635"/>
      <c r="BF203" s="1635"/>
      <c r="BG203" s="1635"/>
      <c r="BH203" s="1635"/>
      <c r="BJ203" s="1635"/>
      <c r="BK203" s="1635"/>
      <c r="BL203" s="1635"/>
      <c r="BM203" s="1635"/>
      <c r="BN203" s="1635"/>
      <c r="BO203" s="1635"/>
      <c r="BP203" s="1635"/>
      <c r="BQ203" s="1635"/>
      <c r="BR203" s="1635"/>
      <c r="BS203" s="1635"/>
      <c r="BT203" s="1635"/>
      <c r="BU203" s="1635"/>
      <c r="BV203" s="1635"/>
      <c r="BW203" s="1635">
        <v>11</v>
      </c>
    </row>
    <row customHeight="1" ht="12.75" hidden="1">
      <c r="A204" s="991" t="s">
        <v>81</v>
      </c>
      <c r="B204" s="991" t="s">
        <v>155</v>
      </c>
      <c r="C204" s="991" t="s">
        <v>155</v>
      </c>
      <c r="D204" s="991" t="s">
        <v>155</v>
      </c>
      <c r="E204" s="991" t="s">
        <v>155</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639">
        <v>40</v>
      </c>
      <c r="AC204" s="1639">
        <v>40</v>
      </c>
      <c r="AD204" s="1639">
        <v>40</v>
      </c>
      <c r="AE204" s="1639">
        <v>40</v>
      </c>
      <c r="AF204" s="1639">
        <v>40</v>
      </c>
      <c r="AG204" s="1639">
        <v>40</v>
      </c>
      <c r="AH204" s="1639">
        <v>40</v>
      </c>
      <c r="AI204" s="1639">
        <v>40</v>
      </c>
      <c r="AJ204" s="1639">
        <v>40</v>
      </c>
      <c r="AK204" s="1639">
        <v>40</v>
      </c>
      <c r="AL204" s="1639">
        <v>40</v>
      </c>
      <c r="AM204" s="1639">
        <v>40</v>
      </c>
      <c r="AN204" s="1639">
        <v>40</v>
      </c>
      <c r="AO204" s="1639">
        <v>40</v>
      </c>
      <c r="AP204" s="1639">
        <v>40</v>
      </c>
      <c r="AQ204" s="1639">
        <v>40</v>
      </c>
      <c r="AR204" s="1639">
        <v>40</v>
      </c>
      <c r="AS204" s="1639">
        <v>40</v>
      </c>
      <c r="AT204" s="1639">
        <v>40</v>
      </c>
      <c r="AU204" s="1639">
        <v>40</v>
      </c>
      <c r="AV204" s="1639">
        <v>40</v>
      </c>
      <c r="AW204" s="1639">
        <v>40</v>
      </c>
      <c r="AX204" s="1639">
        <v>40</v>
      </c>
      <c r="AY204" s="1639">
        <v>40</v>
      </c>
      <c r="AZ204" s="1370">
        <v>9</v>
      </c>
      <c r="BA204" s="1635">
        <v>102</v>
      </c>
      <c r="BB204" s="1370">
        <v>9</v>
      </c>
      <c r="BC204" s="1640">
        <v>5</v>
      </c>
      <c r="BD204" s="1640">
        <v>3</v>
      </c>
      <c r="BE204" s="1370">
        <v>3</v>
      </c>
      <c r="BF204" s="1370">
        <v>3</v>
      </c>
      <c r="BG204" s="1370">
        <v>3</v>
      </c>
      <c r="BH204" s="1370">
        <v>3</v>
      </c>
      <c r="BI204" s="1640">
        <v>10</v>
      </c>
      <c r="BJ204" s="1370">
        <v>34</v>
      </c>
      <c r="BK204" s="1370">
        <v>9</v>
      </c>
      <c r="BL204" s="548">
        <v>8</v>
      </c>
      <c r="BM204" s="1370">
        <v>8</v>
      </c>
      <c r="BN204" s="1370">
        <v>8</v>
      </c>
      <c r="BO204" s="1370">
        <v>8</v>
      </c>
      <c r="BP204" s="1370">
        <v>8</v>
      </c>
      <c r="BQ204" s="1370">
        <v>8</v>
      </c>
      <c r="BR204" s="1636">
        <v>8</v>
      </c>
      <c r="BS204" s="1636">
        <v>8</v>
      </c>
      <c r="BT204" s="1636">
        <v>8</v>
      </c>
      <c r="BU204" s="1636">
        <v>8</v>
      </c>
      <c r="BV204" s="1636">
        <v>8</v>
      </c>
      <c r="BW204" s="1635">
        <v>11</v>
      </c>
    </row>
  </sheetData>
  <sheetProtection sort="0" autoFilter="0" insertRows="0" insertColumns="1" deleteRows="0" deleteColumns="0"/>
  <mergeCells count="7">
    <mergeCell ref="I6:M6"/>
    <mergeCell ref="I7:M7"/>
    <mergeCell ref="J10:K10"/>
    <mergeCell ref="BA10:BA14"/>
    <mergeCell ref="J11:K11"/>
    <mergeCell ref="J12:K12"/>
    <mergeCell ref="I13:K13"/>
  </mergeCells>
  <dataValidations count="4">
    <dataValidation type="decimal" allowBlank="1" showErrorMessage="1" errorTitle="Ошибка" error="Допускается ввод только неотрицательных чисел!" sqref="L32:AY33 L19:AY29 L16:AY16 L2:AY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Y17">
      <formula1>900</formula1>
    </dataValidation>
    <dataValidation type="whole" allowBlank="1" showErrorMessage="1" errorTitle="Ошибка" error="Допускается ввод только неотрицательных целых чисел!" sqref="L30:A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Y15 L34:AY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661A-0AC9-5914-4BC8-2A1ED1C140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870</v>
      </c>
      <c r="C2" s="2054" t="s">
        <v>871</v>
      </c>
      <c r="D2" s="2053" t="s">
        <v>810</v>
      </c>
      <c r="E2" s="2059">
        <f>I2-3</f>
        <v>-3</v>
      </c>
      <c r="F2" s="2059">
        <f>J2</f>
        <v>0</v>
      </c>
      <c r="H2" s="1733" t="s">
        <v>103</v>
      </c>
      <c r="I2" s="2025"/>
      <c r="J2" s="1685"/>
      <c r="K2" s="2019" t="s">
        <v>444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872</v>
      </c>
      <c r="J5" s="2265"/>
      <c r="K5" s="2265"/>
      <c r="L5" s="2265"/>
      <c r="M5" s="270"/>
      <c r="W5" s="1635">
        <v>48</v>
      </c>
    </row>
    <row customHeight="1" ht="18">
      <c r="H6" s="380"/>
      <c r="I6" s="2266" t="str">
        <f>IF(org=0,"Не определено",org)</f>
        <v>КГУП "Примтеплоэнерго"</v>
      </c>
      <c r="J6" s="2266"/>
      <c r="K6" s="2266"/>
      <c r="L6" s="2266"/>
      <c r="M6" s="270"/>
      <c r="W6" s="1635">
        <v>17</v>
      </c>
    </row>
    <row customHeight="1" ht="14.699999999999998">
      <c r="H7" s="380"/>
      <c r="I7" s="461"/>
      <c r="J7" s="467"/>
      <c r="K7" s="467"/>
      <c r="L7" s="756"/>
      <c r="M7" s="197"/>
      <c r="W7" s="1635">
        <v>14</v>
      </c>
    </row>
    <row customHeight="1" ht="14.699999999999998">
      <c r="H8" s="380"/>
      <c r="I8" s="2403" t="s">
        <v>438</v>
      </c>
      <c r="J8" s="2404"/>
      <c r="K8" s="2404"/>
      <c r="L8" s="2405"/>
      <c r="M8" s="2406" t="s">
        <v>439</v>
      </c>
      <c r="W8" s="1635">
        <v>14</v>
      </c>
    </row>
    <row customHeight="1" ht="35.699999999999996">
      <c r="E9" s="2052" t="s">
        <v>801</v>
      </c>
      <c r="F9" s="2052" t="s">
        <v>807</v>
      </c>
      <c r="H9" s="380"/>
      <c r="I9" s="2026" t="s">
        <v>87</v>
      </c>
      <c r="J9" s="2027" t="s">
        <v>440</v>
      </c>
      <c r="K9" s="2065" t="s">
        <v>704</v>
      </c>
      <c r="L9" s="2066" t="s">
        <v>441</v>
      </c>
      <c r="M9" s="2406"/>
      <c r="W9" s="1635">
        <v>34</v>
      </c>
    </row>
    <row customHeight="1" ht="35.699999999999996">
      <c r="B10" s="2054" t="s">
        <v>873</v>
      </c>
      <c r="C10" s="2054" t="s">
        <v>874</v>
      </c>
      <c r="D10" s="2053" t="s">
        <v>810</v>
      </c>
      <c r="E10" s="2057" t="s">
        <v>811</v>
      </c>
      <c r="F10" s="2057" t="s">
        <v>811</v>
      </c>
      <c r="H10" s="380"/>
      <c r="I10" s="2025" t="s">
        <v>105</v>
      </c>
      <c r="J10" s="1887" t="s">
        <v>875</v>
      </c>
      <c r="K10" s="2019" t="s">
        <v>444</v>
      </c>
      <c r="L10" s="822"/>
      <c r="M10" s="301" t="s">
        <v>876</v>
      </c>
      <c r="W10" s="1635">
        <v>34</v>
      </c>
    </row>
    <row customHeight="1" ht="50.25">
      <c r="B11" s="2054" t="s">
        <v>877</v>
      </c>
      <c r="C11" s="2054" t="s">
        <v>878</v>
      </c>
      <c r="D11" s="2053" t="s">
        <v>810</v>
      </c>
      <c r="E11" s="2057" t="s">
        <v>811</v>
      </c>
      <c r="F11" s="2057" t="s">
        <v>811</v>
      </c>
      <c r="H11" s="380"/>
      <c r="I11" s="2025" t="s">
        <v>102</v>
      </c>
      <c r="J11" s="1887" t="s">
        <v>879</v>
      </c>
      <c r="K11" s="2019" t="s">
        <v>444</v>
      </c>
      <c r="L11" s="822"/>
      <c r="M11" s="301" t="s">
        <v>876</v>
      </c>
      <c r="W11" s="1635">
        <v>48</v>
      </c>
    </row>
    <row customHeight="1" ht="48.29999999999999">
      <c r="B12" s="2054" t="s">
        <v>880</v>
      </c>
      <c r="C12" s="2054" t="s">
        <v>881</v>
      </c>
      <c r="D12" s="2053" t="s">
        <v>810</v>
      </c>
      <c r="E12" s="2057" t="s">
        <v>811</v>
      </c>
      <c r="F12" s="2057" t="s">
        <v>811</v>
      </c>
      <c r="H12" s="1691"/>
      <c r="I12" s="2025" t="s">
        <v>89</v>
      </c>
      <c r="J12" s="2032" t="s">
        <v>882</v>
      </c>
      <c r="K12" s="2019" t="s">
        <v>444</v>
      </c>
      <c r="L12" s="822"/>
      <c r="M12" s="301" t="s">
        <v>883</v>
      </c>
      <c r="N12" s="1628"/>
      <c r="P12" s="1635"/>
      <c r="W12" s="1635">
        <v>46</v>
      </c>
    </row>
    <row customHeight="1" ht="14.699999999999998">
      <c r="E13" s="347"/>
      <c r="H13" s="380"/>
      <c r="I13" s="351"/>
      <c r="J13" s="655" t="s">
        <v>884</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148</v>
      </c>
      <c r="F16" s="2056" t="s">
        <v>148</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1CFC8-EF98-B068-0308-1D87DB4066C8}" mc:Ignorable="x14ac xr xr2 xr3">
  <sheetPr>
    <tabColor theme="9" tint="-0.25"/>
  </sheetPr>
  <dimension ref="A1:BR219"/>
  <sheetViews>
    <sheetView showGridLines="0" zoomScale="90" workbookViewId="0">
      <pane xSplit="8" ySplit="14" topLeftCell="AX15" activePane="bottomRight" state="frozen"/>
      <selection pane="bottomLeft" activeCell="A15" sqref="A15"/>
      <selection pane="topRight" activeCell="I1" sqref="I1"/>
      <selection pane="bottomRight" activeCell="AX9" sqref="AX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47" style="1639" width="40.7109375" customWidth="1"/>
    <col min="48" max="48" style="1639" width="102.00390625" customWidth="1"/>
    <col min="49" max="49" style="1370" width="9.00390625" customWidth="1"/>
    <col min="50" max="50" style="1646" width="5.00390625" customWidth="1"/>
    <col min="51" max="51" style="1646" width="3.00390625" customWidth="1"/>
    <col min="52" max="55" style="1370" width="3.00390625" customWidth="1"/>
    <col min="56" max="56" style="1646" width="10.00390625" customWidth="1"/>
    <col min="57" max="57" style="1370" width="34.00390625" customWidth="1"/>
    <col min="58" max="58" style="1370" width="9.00390625" customWidth="1"/>
    <col min="59" max="59" style="740" width="8.00390625" customWidth="1"/>
    <col min="60" max="64" style="1370" width="8.00390625" customWidth="1"/>
    <col min="65" max="69" style="1636" width="8.00390625" customWidth="1"/>
    <col min="70" max="70"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t="s">
        <v>89</v>
      </c>
      <c r="AO1" s="1370" t="s">
        <v>89</v>
      </c>
      <c r="AP1" s="1370" t="s">
        <v>102</v>
      </c>
      <c r="AQ1" s="1370" t="s">
        <v>105</v>
      </c>
      <c r="AR1" s="1370" t="s">
        <v>105</v>
      </c>
      <c r="AS1" s="1370" t="s">
        <v>105</v>
      </c>
      <c r="AT1" s="1370" t="s">
        <v>105</v>
      </c>
      <c r="AU1" s="1370" t="s">
        <v>105</v>
      </c>
      <c r="AX1" s="1640"/>
      <c r="AY1" s="1640"/>
      <c r="BD1" s="1640"/>
      <c r="BR1" s="1164" t="s">
        <v>14</v>
      </c>
    </row>
    <row s="1370" customFormat="1" customHeight="1" ht="22.5" hidden="1">
      <c r="A2" s="991"/>
      <c r="C2" s="1640"/>
      <c r="D2" s="542"/>
      <c r="E2" s="1641"/>
      <c r="F2" s="544"/>
      <c r="G2" s="1643" t="s">
        <v>690</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546" t="s">
        <v>885</v>
      </c>
      <c r="AW2" s="547"/>
      <c r="AX2" s="1640"/>
      <c r="AY2" s="1640"/>
      <c r="BD2" s="1640"/>
      <c r="BG2" s="548"/>
      <c r="BM2" s="1636"/>
      <c r="BN2" s="1636"/>
      <c r="BO2" s="1636"/>
      <c r="BP2" s="1636"/>
      <c r="BQ2" s="1636"/>
      <c r="BR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BR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v>4</v>
      </c>
      <c r="AW4" s="1164"/>
      <c r="AX4" s="1640"/>
      <c r="AY4" s="1640"/>
      <c r="AZ4" s="1164"/>
      <c r="BA4" s="1164"/>
      <c r="BB4" s="1164"/>
      <c r="BC4" s="1164"/>
      <c r="BD4" s="1640"/>
      <c r="BE4" s="1164"/>
      <c r="BF4" s="1164"/>
      <c r="BG4" s="548"/>
      <c r="BH4" s="1164"/>
      <c r="BI4" s="1164"/>
      <c r="BJ4" s="1164"/>
      <c r="BK4" s="1164"/>
      <c r="BL4" s="1164"/>
      <c r="BR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BR5" s="1635">
        <v>11</v>
      </c>
    </row>
    <row customHeight="1" ht="31.5">
      <c r="E6" s="2324" t="s">
        <v>886</v>
      </c>
      <c r="F6" s="2324"/>
      <c r="G6" s="2324"/>
      <c r="H6" s="2324"/>
      <c r="I6" s="2324"/>
      <c r="J6" s="2324"/>
      <c r="K6" s="2324"/>
      <c r="L6" s="2324"/>
      <c r="M6" s="2324"/>
      <c r="N6" s="2324"/>
      <c r="O6" s="2324"/>
      <c r="P6" s="2324"/>
      <c r="Q6" s="2324"/>
      <c r="R6" s="2324"/>
      <c r="S6" s="2324"/>
      <c r="T6" s="2324"/>
      <c r="U6" s="2324"/>
      <c r="V6" s="2324"/>
      <c r="W6" s="2324"/>
      <c r="X6" s="2324"/>
      <c r="Y6" s="2324"/>
      <c r="Z6" s="2324"/>
      <c r="AA6" s="2324"/>
      <c r="AB6" s="2324"/>
      <c r="AC6" s="2324"/>
      <c r="AD6" s="2324"/>
      <c r="AE6" s="2324"/>
      <c r="AF6" s="2324"/>
      <c r="AG6" s="2324"/>
      <c r="AH6" s="2324"/>
      <c r="AI6" s="2324"/>
      <c r="AJ6" s="2324"/>
      <c r="AK6" s="2324"/>
      <c r="AL6" s="2324"/>
      <c r="AM6" s="2324"/>
      <c r="AN6" s="2324"/>
      <c r="AO6" s="2324"/>
      <c r="AP6" s="2324"/>
      <c r="AQ6" s="2324"/>
      <c r="AR6" s="2324"/>
      <c r="AS6" s="2324"/>
      <c r="AT6" s="2324"/>
      <c r="AU6" s="2324"/>
      <c r="AV6" s="560"/>
      <c r="BR6" s="1635">
        <v>30</v>
      </c>
    </row>
    <row customHeight="1" ht="11.549999999999999">
      <c r="E7" s="2266" t="str">
        <f>IF(org=0,"Не определено",org)</f>
        <v>КГУП "Примтеплоэнерго"</v>
      </c>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c r="AG7" s="2266"/>
      <c r="AH7" s="2266"/>
      <c r="AI7" s="2266"/>
      <c r="AJ7" s="2266"/>
      <c r="AK7" s="2266"/>
      <c r="AL7" s="2266"/>
      <c r="AM7" s="2266"/>
      <c r="AN7" s="2266"/>
      <c r="AO7" s="2266"/>
      <c r="AP7" s="2266"/>
      <c r="AQ7" s="2266"/>
      <c r="AR7" s="2266"/>
      <c r="AS7" s="2266"/>
      <c r="AT7" s="2266"/>
      <c r="AU7" s="2266"/>
      <c r="BR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BR8" s="1635">
        <v>11</v>
      </c>
    </row>
    <row s="1646" customFormat="1" customHeight="1" ht="4.2">
      <c r="A9" s="1171"/>
      <c r="D9" s="1646"/>
      <c r="H9" s="893"/>
      <c r="I9" s="893" t="s">
        <v>182</v>
      </c>
      <c r="J9" s="893" t="s">
        <v>238</v>
      </c>
      <c r="K9" s="893" t="s">
        <v>250</v>
      </c>
      <c r="L9" s="893" t="s">
        <v>253</v>
      </c>
      <c r="M9" s="893" t="s">
        <v>186</v>
      </c>
      <c r="N9" s="893" t="s">
        <v>188</v>
      </c>
      <c r="O9" s="893" t="s">
        <v>190</v>
      </c>
      <c r="P9" s="893" t="s">
        <v>192</v>
      </c>
      <c r="Q9" s="893" t="s">
        <v>194</v>
      </c>
      <c r="R9" s="893" t="s">
        <v>196</v>
      </c>
      <c r="S9" s="893" t="s">
        <v>198</v>
      </c>
      <c r="T9" s="893" t="s">
        <v>201</v>
      </c>
      <c r="U9" s="893" t="s">
        <v>203</v>
      </c>
      <c r="V9" s="893" t="s">
        <v>207</v>
      </c>
      <c r="W9" s="893" t="s">
        <v>211</v>
      </c>
      <c r="X9" s="893" t="s">
        <v>213</v>
      </c>
      <c r="Y9" s="893" t="s">
        <v>215</v>
      </c>
      <c r="Z9" s="893" t="s">
        <v>217</v>
      </c>
      <c r="AA9" s="893" t="s">
        <v>225</v>
      </c>
      <c r="AB9" s="893" t="s">
        <v>229</v>
      </c>
      <c r="AC9" s="893" t="s">
        <v>231</v>
      </c>
      <c r="AD9" s="893" t="s">
        <v>235</v>
      </c>
      <c r="AE9" s="893" t="s">
        <v>205</v>
      </c>
      <c r="AF9" s="893" t="s">
        <v>209</v>
      </c>
      <c r="AG9" s="893" t="s">
        <v>219</v>
      </c>
      <c r="AH9" s="893" t="s">
        <v>221</v>
      </c>
      <c r="AI9" s="893" t="s">
        <v>223</v>
      </c>
      <c r="AJ9" s="893" t="s">
        <v>227</v>
      </c>
      <c r="AK9" s="893" t="s">
        <v>233</v>
      </c>
      <c r="AL9" s="893" t="s">
        <v>240</v>
      </c>
      <c r="AM9" s="893" t="s">
        <v>242</v>
      </c>
      <c r="AN9" s="893" t="s">
        <v>244</v>
      </c>
      <c r="AO9" s="893" t="s">
        <v>246</v>
      </c>
      <c r="AP9" s="893" t="s">
        <v>248</v>
      </c>
      <c r="AQ9" s="893" t="s">
        <v>256</v>
      </c>
      <c r="AR9" s="893" t="s">
        <v>258</v>
      </c>
      <c r="AS9" s="893" t="s">
        <v>260</v>
      </c>
      <c r="AT9" s="893" t="s">
        <v>262</v>
      </c>
      <c r="AU9" s="893" t="s">
        <v>264</v>
      </c>
      <c r="BR9" s="1640">
        <v>4</v>
      </c>
    </row>
    <row customHeight="1" ht="11.549999999999999">
      <c r="E10" s="715"/>
      <c r="F10" s="2384" t="s">
        <v>173</v>
      </c>
      <c r="G10" s="2385"/>
      <c r="H10" s="1556" t="str">
        <f>IF(H9="","",INDEX(DIFFERENTIATION_UNMERGE_VD,MATCH(H9,DIFFERENTIATION_ID_DIFF,0)))</f>
        <v/>
      </c>
      <c r="I10" s="1556" t="str">
        <f>IF(I9="","",INDEX(DIFFERENTIATION_UNMERGE_VD,MATCH(I9,DIFFERENTIATION_ID_DIFF,0)))</f>
        <v>Холодное водоснабжение. Питьевая вода</v>
      </c>
      <c r="J10" s="2410" t="str">
        <f>IF(J9="","",INDEX(DIFFERENTIATION_UNMERGE_VD,MATCH(J9,DIFFERENTIATION_ID_DIFF,0)))</f>
        <v>Подключение (технологическое присоединение) к централизованной системе водоснабжения</v>
      </c>
      <c r="K10" s="2410" t="str">
        <f>IF(K9="","",INDEX(DIFFERENTIATION_UNMERGE_VD,MATCH(K9,DIFFERENTIATION_ID_DIFF,0)))</f>
        <v>Холодное водоснабжение. Техническая вода</v>
      </c>
      <c r="L10" s="2410" t="str">
        <f>IF(L9="","",INDEX(DIFFERENTIATION_UNMERGE_VD,MATCH(L9,DIFFERENTIATION_ID_DIFF,0)))</f>
        <v>Холодное водоснабжение. Подвозная вода</v>
      </c>
      <c r="M10" s="2410" t="str">
        <f>IF(M9="","",INDEX(DIFFERENTIATION_UNMERGE_VD,MATCH(M9,DIFFERENTIATION_ID_DIFF,0)))</f>
        <v>Холодное водоснабжение. Питьевая вода</v>
      </c>
      <c r="N10" s="2410" t="str">
        <f>IF(N9="","",INDEX(DIFFERENTIATION_UNMERGE_VD,MATCH(N9,DIFFERENTIATION_ID_DIFF,0)))</f>
        <v>Холодное водоснабжение. Питьевая вода</v>
      </c>
      <c r="O10" s="2410" t="str">
        <f>IF(O9="","",INDEX(DIFFERENTIATION_UNMERGE_VD,MATCH(O9,DIFFERENTIATION_ID_DIFF,0)))</f>
        <v>Холодное водоснабжение. Питьевая вода</v>
      </c>
      <c r="P10" s="2410" t="str">
        <f>IF(P9="","",INDEX(DIFFERENTIATION_UNMERGE_VD,MATCH(P9,DIFFERENTIATION_ID_DIFF,0)))</f>
        <v>Холодное водоснабжение. Питьевая вода</v>
      </c>
      <c r="Q10" s="2410" t="str">
        <f>IF(Q9="","",INDEX(DIFFERENTIATION_UNMERGE_VD,MATCH(Q9,DIFFERENTIATION_ID_DIFF,0)))</f>
        <v>Холодное водоснабжение. Питьевая вода</v>
      </c>
      <c r="R10" s="2410" t="str">
        <f>IF(R9="","",INDEX(DIFFERENTIATION_UNMERGE_VD,MATCH(R9,DIFFERENTIATION_ID_DIFF,0)))</f>
        <v>Холодное водоснабжение. Питьевая вода</v>
      </c>
      <c r="S10" s="2410" t="str">
        <f>IF(S9="","",INDEX(DIFFERENTIATION_UNMERGE_VD,MATCH(S9,DIFFERENTIATION_ID_DIFF,0)))</f>
        <v>Холодное водоснабжение. Питьевая вода</v>
      </c>
      <c r="T10" s="2410" t="str">
        <f>IF(T9="","",INDEX(DIFFERENTIATION_UNMERGE_VD,MATCH(T9,DIFFERENTIATION_ID_DIFF,0)))</f>
        <v>Холодное водоснабжение. Питьевая вода</v>
      </c>
      <c r="U10" s="2410" t="str">
        <f>IF(U9="","",INDEX(DIFFERENTIATION_UNMERGE_VD,MATCH(U9,DIFFERENTIATION_ID_DIFF,0)))</f>
        <v>Холодное водоснабжение. Питьевая вода</v>
      </c>
      <c r="V10" s="2410" t="str">
        <f>IF(V9="","",INDEX(DIFFERENTIATION_UNMERGE_VD,MATCH(V9,DIFFERENTIATION_ID_DIFF,0)))</f>
        <v>Холодное водоснабжение. Питьевая вода</v>
      </c>
      <c r="W10" s="2410" t="str">
        <f>IF(W9="","",INDEX(DIFFERENTIATION_UNMERGE_VD,MATCH(W9,DIFFERENTIATION_ID_DIFF,0)))</f>
        <v>Холодное водоснабжение. Питьевая вода</v>
      </c>
      <c r="X10" s="2410" t="str">
        <f>IF(X9="","",INDEX(DIFFERENTIATION_UNMERGE_VD,MATCH(X9,DIFFERENTIATION_ID_DIFF,0)))</f>
        <v>Холодное водоснабжение. Питьевая вода</v>
      </c>
      <c r="Y10" s="2410" t="str">
        <f>IF(Y9="","",INDEX(DIFFERENTIATION_UNMERGE_VD,MATCH(Y9,DIFFERENTIATION_ID_DIFF,0)))</f>
        <v>Холодное водоснабжение. Питьевая вода</v>
      </c>
      <c r="Z10" s="2410" t="str">
        <f>IF(Z9="","",INDEX(DIFFERENTIATION_UNMERGE_VD,MATCH(Z9,DIFFERENTIATION_ID_DIFF,0)))</f>
        <v>Холодное водоснабжение. Питьевая вода</v>
      </c>
      <c r="AA10" s="2410" t="str">
        <f>IF(AA9="","",INDEX(DIFFERENTIATION_UNMERGE_VD,MATCH(AA9,DIFFERENTIATION_ID_DIFF,0)))</f>
        <v>Холодное водоснабжение. Питьевая вода</v>
      </c>
      <c r="AB10" s="2410" t="str">
        <f>IF(AB9="","",INDEX(DIFFERENTIATION_UNMERGE_VD,MATCH(AB9,DIFFERENTIATION_ID_DIFF,0)))</f>
        <v>Холодное водоснабжение. Питьевая вода</v>
      </c>
      <c r="AC10" s="2410" t="str">
        <f>IF(AC9="","",INDEX(DIFFERENTIATION_UNMERGE_VD,MATCH(AC9,DIFFERENTIATION_ID_DIFF,0)))</f>
        <v>Холодное водоснабжение. Питьевая вода</v>
      </c>
      <c r="AD10" s="2410" t="str">
        <f>IF(AD9="","",INDEX(DIFFERENTIATION_UNMERGE_VD,MATCH(AD9,DIFFERENTIATION_ID_DIFF,0)))</f>
        <v>Холодное водоснабжение. Питьевая вода</v>
      </c>
      <c r="AE10" s="2410" t="str">
        <f>IF(AE9="","",INDEX(DIFFERENTIATION_UNMERGE_VD,MATCH(AE9,DIFFERENTIATION_ID_DIFF,0)))</f>
        <v>Холодное водоснабжение. Питьевая вода</v>
      </c>
      <c r="AF10" s="2410" t="str">
        <f>IF(AF9="","",INDEX(DIFFERENTIATION_UNMERGE_VD,MATCH(AF9,DIFFERENTIATION_ID_DIFF,0)))</f>
        <v>Холодное водоснабжение. Питьевая вода</v>
      </c>
      <c r="AG10" s="2410" t="str">
        <f>IF(AG9="","",INDEX(DIFFERENTIATION_UNMERGE_VD,MATCH(AG9,DIFFERENTIATION_ID_DIFF,0)))</f>
        <v>Холодное водоснабжение. Питьевая вода</v>
      </c>
      <c r="AH10" s="2410" t="str">
        <f>IF(AH9="","",INDEX(DIFFERENTIATION_UNMERGE_VD,MATCH(AH9,DIFFERENTIATION_ID_DIFF,0)))</f>
        <v>Холодное водоснабжение. Питьевая вода</v>
      </c>
      <c r="AI10" s="2410" t="str">
        <f>IF(AI9="","",INDEX(DIFFERENTIATION_UNMERGE_VD,MATCH(AI9,DIFFERENTIATION_ID_DIFF,0)))</f>
        <v>Холодное водоснабжение. Питьевая вода</v>
      </c>
      <c r="AJ10" s="2410" t="str">
        <f>IF(AJ9="","",INDEX(DIFFERENTIATION_UNMERGE_VD,MATCH(AJ9,DIFFERENTIATION_ID_DIFF,0)))</f>
        <v>Холодное водоснабжение. Питьевая вода</v>
      </c>
      <c r="AK10" s="2410" t="str">
        <f>IF(AK9="","",INDEX(DIFFERENTIATION_UNMERGE_VD,MATCH(AK9,DIFFERENTIATION_ID_DIFF,0)))</f>
        <v>Холодное водоснабжение. Питьевая вода</v>
      </c>
      <c r="AL10" s="2410" t="str">
        <f>IF(AL9="","",INDEX(DIFFERENTIATION_UNMERGE_VD,MATCH(AL9,DIFFERENTIATION_ID_DIFF,0)))</f>
        <v>Подключение (технологическое присоединение) к централизованной системе водоснабжения</v>
      </c>
      <c r="AM10" s="2410" t="str">
        <f>IF(AM9="","",INDEX(DIFFERENTIATION_UNMERGE_VD,MATCH(AM9,DIFFERENTIATION_ID_DIFF,0)))</f>
        <v>Подключение (технологическое присоединение) к централизованной системе водоснабжения</v>
      </c>
      <c r="AN10" s="2410" t="str">
        <f>IF(AN9="","",INDEX(DIFFERENTIATION_UNMERGE_VD,MATCH(AN9,DIFFERENTIATION_ID_DIFF,0)))</f>
        <v>Подключение (технологическое присоединение) к централизованной системе водоснабжения</v>
      </c>
      <c r="AO10" s="2410" t="str">
        <f>IF(AO9="","",INDEX(DIFFERENTIATION_UNMERGE_VD,MATCH(AO9,DIFFERENTIATION_ID_DIFF,0)))</f>
        <v>Подключение (технологическое присоединение) к централизованной системе водоснабжения</v>
      </c>
      <c r="AP10" s="2410" t="str">
        <f>IF(AP9="","",INDEX(DIFFERENTIATION_UNMERGE_VD,MATCH(AP9,DIFFERENTIATION_ID_DIFF,0)))</f>
        <v>Подключение (технологическое присоединение) к централизованной системе водоснабжения</v>
      </c>
      <c r="AQ10" s="2410" t="str">
        <f>IF(AQ9="","",INDEX(DIFFERENTIATION_UNMERGE_VD,MATCH(AQ9,DIFFERENTIATION_ID_DIFF,0)))</f>
        <v>Холодное водоснабжение. Подвозная вода</v>
      </c>
      <c r="AR10" s="2410" t="str">
        <f>IF(AR9="","",INDEX(DIFFERENTIATION_UNMERGE_VD,MATCH(AR9,DIFFERENTIATION_ID_DIFF,0)))</f>
        <v>Холодное водоснабжение. Подвозная вода</v>
      </c>
      <c r="AS10" s="2410" t="str">
        <f>IF(AS9="","",INDEX(DIFFERENTIATION_UNMERGE_VD,MATCH(AS9,DIFFERENTIATION_ID_DIFF,0)))</f>
        <v>Холодное водоснабжение. Подвозная вода</v>
      </c>
      <c r="AT10" s="2410" t="str">
        <f>IF(AT9="","",INDEX(DIFFERENTIATION_UNMERGE_VD,MATCH(AT9,DIFFERENTIATION_ID_DIFF,0)))</f>
        <v>Холодное водоснабжение. Подвозная вода</v>
      </c>
      <c r="AU10" s="2410" t="str">
        <f>IF(AU9="","",INDEX(DIFFERENTIATION_UNMERGE_VD,MATCH(AU9,DIFFERENTIATION_ID_DIFF,0)))</f>
        <v>Холодное водоснабжение. Подвозная вода</v>
      </c>
      <c r="AV10" s="2144" t="s">
        <v>439</v>
      </c>
      <c r="BR10" s="1635">
        <v>11</v>
      </c>
    </row>
    <row customHeight="1" ht="11.549999999999999">
      <c r="E11" s="715"/>
      <c r="F11" s="2384" t="s">
        <v>702</v>
      </c>
      <c r="G11" s="2385"/>
      <c r="H11" s="1556" t="str">
        <f>IF(H9="","",INDEX(DIFFERENTIATION_UNMERGE_AREA,MATCH(H9,DIFFERENTIATION_ID_DIFF,0)))</f>
        <v/>
      </c>
      <c r="I11" s="1556" t="str">
        <f>IF(I9="","",INDEX(DIFFERENTIATION_UNMERGE_AREA,MATCH(I9,DIFFERENTIATION_ID_DIFF,0)))</f>
        <v>Территория 1</v>
      </c>
      <c r="J11" s="2410" t="str">
        <f>IF(J9="","",INDEX(DIFFERENTIATION_UNMERGE_AREA,MATCH(J9,DIFFERENTIATION_ID_DIFF,0)))</f>
        <v>Территория 8</v>
      </c>
      <c r="K11" s="2410" t="str">
        <f>IF(K9="","",INDEX(DIFFERENTIATION_UNMERGE_AREA,MATCH(K9,DIFFERENTIATION_ID_DIFF,0)))</f>
        <v>Территория 9</v>
      </c>
      <c r="L11" s="2410" t="str">
        <f>IF(L9="","",INDEX(DIFFERENTIATION_UNMERGE_AREA,MATCH(L9,DIFFERENTIATION_ID_DIFF,0)))</f>
        <v>Территория 2</v>
      </c>
      <c r="M11" s="2410" t="str">
        <f>IF(M9="","",INDEX(DIFFERENTIATION_UNMERGE_AREA,MATCH(M9,DIFFERENTIATION_ID_DIFF,0)))</f>
        <v>Территория 1</v>
      </c>
      <c r="N11" s="2410" t="str">
        <f>IF(N9="","",INDEX(DIFFERENTIATION_UNMERGE_AREA,MATCH(N9,DIFFERENTIATION_ID_DIFF,0)))</f>
        <v>Территория 1</v>
      </c>
      <c r="O11" s="2410" t="str">
        <f>IF(O9="","",INDEX(DIFFERENTIATION_UNMERGE_AREA,MATCH(O9,DIFFERENTIATION_ID_DIFF,0)))</f>
        <v>Территория 1</v>
      </c>
      <c r="P11" s="2410" t="str">
        <f>IF(P9="","",INDEX(DIFFERENTIATION_UNMERGE_AREA,MATCH(P9,DIFFERENTIATION_ID_DIFF,0)))</f>
        <v>Территория 1</v>
      </c>
      <c r="Q11" s="2410" t="str">
        <f>IF(Q9="","",INDEX(DIFFERENTIATION_UNMERGE_AREA,MATCH(Q9,DIFFERENTIATION_ID_DIFF,0)))</f>
        <v>Территория 1</v>
      </c>
      <c r="R11" s="2410" t="str">
        <f>IF(R9="","",INDEX(DIFFERENTIATION_UNMERGE_AREA,MATCH(R9,DIFFERENTIATION_ID_DIFF,0)))</f>
        <v>Территория 1</v>
      </c>
      <c r="S11" s="2410" t="str">
        <f>IF(S9="","",INDEX(DIFFERENTIATION_UNMERGE_AREA,MATCH(S9,DIFFERENTIATION_ID_DIFF,0)))</f>
        <v>Территория 1</v>
      </c>
      <c r="T11" s="2410" t="str">
        <f>IF(T9="","",INDEX(DIFFERENTIATION_UNMERGE_AREA,MATCH(T9,DIFFERENTIATION_ID_DIFF,0)))</f>
        <v>Территория 2</v>
      </c>
      <c r="U11" s="2410" t="str">
        <f>IF(U9="","",INDEX(DIFFERENTIATION_UNMERGE_AREA,MATCH(U9,DIFFERENTIATION_ID_DIFF,0)))</f>
        <v>Территория 3</v>
      </c>
      <c r="V11" s="2410" t="str">
        <f>IF(V9="","",INDEX(DIFFERENTIATION_UNMERGE_AREA,MATCH(V9,DIFFERENTIATION_ID_DIFF,0)))</f>
        <v>Территория 4</v>
      </c>
      <c r="W11" s="2410" t="str">
        <f>IF(W9="","",INDEX(DIFFERENTIATION_UNMERGE_AREA,MATCH(W9,DIFFERENTIATION_ID_DIFF,0)))</f>
        <v>Территория 5</v>
      </c>
      <c r="X11" s="2410" t="str">
        <f>IF(X9="","",INDEX(DIFFERENTIATION_UNMERGE_AREA,MATCH(X9,DIFFERENTIATION_ID_DIFF,0)))</f>
        <v>Территория 6</v>
      </c>
      <c r="Y11" s="2410" t="str">
        <f>IF(Y9="","",INDEX(DIFFERENTIATION_UNMERGE_AREA,MATCH(Y9,DIFFERENTIATION_ID_DIFF,0)))</f>
        <v>Территория 7</v>
      </c>
      <c r="Z11" s="2410" t="str">
        <f>IF(Z9="","",INDEX(DIFFERENTIATION_UNMERGE_AREA,MATCH(Z9,DIFFERENTIATION_ID_DIFF,0)))</f>
        <v>Территория 8</v>
      </c>
      <c r="AA11" s="2410" t="str">
        <f>IF(AA9="","",INDEX(DIFFERENTIATION_UNMERGE_AREA,MATCH(AA9,DIFFERENTIATION_ID_DIFF,0)))</f>
        <v>Территория 9</v>
      </c>
      <c r="AB11" s="2410" t="str">
        <f>IF(AB9="","",INDEX(DIFFERENTIATION_UNMERGE_AREA,MATCH(AB9,DIFFERENTIATION_ID_DIFF,0)))</f>
        <v>Территория 10</v>
      </c>
      <c r="AC11" s="2410" t="str">
        <f>IF(AC9="","",INDEX(DIFFERENTIATION_UNMERGE_AREA,MATCH(AC9,DIFFERENTIATION_ID_DIFF,0)))</f>
        <v>Территория 11</v>
      </c>
      <c r="AD11" s="2410" t="str">
        <f>IF(AD9="","",INDEX(DIFFERENTIATION_UNMERGE_AREA,MATCH(AD9,DIFFERENTIATION_ID_DIFF,0)))</f>
        <v>Территория 12</v>
      </c>
      <c r="AE11" s="2410" t="str">
        <f>IF(AE9="","",INDEX(DIFFERENTIATION_UNMERGE_AREA,MATCH(AE9,DIFFERENTIATION_ID_DIFF,0)))</f>
        <v>Территория 3</v>
      </c>
      <c r="AF11" s="2410" t="str">
        <f>IF(AF9="","",INDEX(DIFFERENTIATION_UNMERGE_AREA,MATCH(AF9,DIFFERENTIATION_ID_DIFF,0)))</f>
        <v>Территория 4</v>
      </c>
      <c r="AG11" s="2410" t="str">
        <f>IF(AG9="","",INDEX(DIFFERENTIATION_UNMERGE_AREA,MATCH(AG9,DIFFERENTIATION_ID_DIFF,0)))</f>
        <v>Территория 8</v>
      </c>
      <c r="AH11" s="2410" t="str">
        <f>IF(AH9="","",INDEX(DIFFERENTIATION_UNMERGE_AREA,MATCH(AH9,DIFFERENTIATION_ID_DIFF,0)))</f>
        <v>Территория 8</v>
      </c>
      <c r="AI11" s="2410" t="str">
        <f>IF(AI9="","",INDEX(DIFFERENTIATION_UNMERGE_AREA,MATCH(AI9,DIFFERENTIATION_ID_DIFF,0)))</f>
        <v>Территория 8</v>
      </c>
      <c r="AJ11" s="2410" t="str">
        <f>IF(AJ9="","",INDEX(DIFFERENTIATION_UNMERGE_AREA,MATCH(AJ9,DIFFERENTIATION_ID_DIFF,0)))</f>
        <v>Территория 9</v>
      </c>
      <c r="AK11" s="2410" t="str">
        <f>IF(AK9="","",INDEX(DIFFERENTIATION_UNMERGE_AREA,MATCH(AK9,DIFFERENTIATION_ID_DIFF,0)))</f>
        <v>Территория 11</v>
      </c>
      <c r="AL11" s="2410" t="str">
        <f>IF(AL9="","",INDEX(DIFFERENTIATION_UNMERGE_AREA,MATCH(AL9,DIFFERENTIATION_ID_DIFF,0)))</f>
        <v>Территория 9</v>
      </c>
      <c r="AM11" s="2410" t="str">
        <f>IF(AM9="","",INDEX(DIFFERENTIATION_UNMERGE_AREA,MATCH(AM9,DIFFERENTIATION_ID_DIFF,0)))</f>
        <v>Территория 6</v>
      </c>
      <c r="AN11" s="2410" t="str">
        <f>IF(AN9="","",INDEX(DIFFERENTIATION_UNMERGE_AREA,MATCH(AN9,DIFFERENTIATION_ID_DIFF,0)))</f>
        <v>Территория 7</v>
      </c>
      <c r="AO11" s="2410" t="str">
        <f>IF(AO9="","",INDEX(DIFFERENTIATION_UNMERGE_AREA,MATCH(AO9,DIFFERENTIATION_ID_DIFF,0)))</f>
        <v>Территория 11</v>
      </c>
      <c r="AP11" s="2410" t="str">
        <f>IF(AP9="","",INDEX(DIFFERENTIATION_UNMERGE_AREA,MATCH(AP9,DIFFERENTIATION_ID_DIFF,0)))</f>
        <v>Территория 1</v>
      </c>
      <c r="AQ11" s="2410" t="str">
        <f>IF(AQ9="","",INDEX(DIFFERENTIATION_UNMERGE_AREA,MATCH(AQ9,DIFFERENTIATION_ID_DIFF,0)))</f>
        <v>Территория 7</v>
      </c>
      <c r="AR11" s="2410" t="str">
        <f>IF(AR9="","",INDEX(DIFFERENTIATION_UNMERGE_AREA,MATCH(AR9,DIFFERENTIATION_ID_DIFF,0)))</f>
        <v>Территория 5</v>
      </c>
      <c r="AS11" s="2410" t="str">
        <f>IF(AS9="","",INDEX(DIFFERENTIATION_UNMERGE_AREA,MATCH(AS9,DIFFERENTIATION_ID_DIFF,0)))</f>
        <v>Территория 4</v>
      </c>
      <c r="AT11" s="2410" t="str">
        <f>IF(AT9="","",INDEX(DIFFERENTIATION_UNMERGE_AREA,MATCH(AT9,DIFFERENTIATION_ID_DIFF,0)))</f>
        <v>Территория 8</v>
      </c>
      <c r="AU11" s="2410" t="str">
        <f>IF(AU9="","",INDEX(DIFFERENTIATION_UNMERGE_AREA,MATCH(AU9,DIFFERENTIATION_ID_DIFF,0)))</f>
        <v>Территория 6</v>
      </c>
      <c r="AV11" s="2144"/>
      <c r="BR11" s="1635">
        <v>11</v>
      </c>
    </row>
    <row customHeight="1" ht="1.05">
      <c r="E12" s="1666"/>
      <c r="F12" s="2407" t="s">
        <v>703</v>
      </c>
      <c r="G12" s="2408"/>
      <c r="H12" s="1667" t="str">
        <f>IF(H9="","",INDEX(DIFFERENTIATION_UNMERGE_SYSTEM,MATCH(H9,DIFFERENTIATION_ID_DIFF,0)))</f>
        <v/>
      </c>
      <c r="I12" s="1667" t="str">
        <f>IF(I9="","",INDEX(DIFFERENTIATION_UNMERGE_SYSTEM,MATCH(I9,DIFFERENTIATION_ID_DIFF,0)))</f>
        <v>Централизованная система водоснабжения Барабашского сельского поселения</v>
      </c>
      <c r="J12" s="1667" t="str">
        <f>IF(J9="","",INDEX(DIFFERENTIATION_UNMERGE_SYSTEM,MATCH(J9,DIFFERENTIATION_ID_DIFF,0)))</f>
        <v>Черниговский МР</v>
      </c>
      <c r="K12" s="1667" t="str">
        <f>IF(K9="","",INDEX(DIFFERENTIATION_UNMERGE_SYSTEM,MATCH(K9,DIFFERENTIATION_ID_DIFF,0)))</f>
        <v> Городской округ Спасск-Дальний, Городской округ Спасск-Дальний (05720000)</v>
      </c>
      <c r="L12" s="1667" t="str">
        <f>IF(L9="","",INDEX(DIFFERENTIATION_UNMERGE_SYSTEM,MATCH(L9,DIFFERENTIATION_ID_DIFF,0)))</f>
        <v>Анучинский муниципальный округ, Анучинский муниципальный округ (05502000)</v>
      </c>
      <c r="M12" s="1667" t="str">
        <f>IF(M9="","",INDEX(DIFFERENTIATION_UNMERGE_SYSTEM,MATCH(M9,DIFFERENTIATION_ID_DIFF,0)))</f>
        <v>Централизованная система водоснабжения Барабашского сельского поселения.Военный городок</v>
      </c>
      <c r="N12" s="1667" t="str">
        <f>IF(N9="","",INDEX(DIFFERENTIATION_UNMERGE_SYSTEM,MATCH(N9,DIFFERENTIATION_ID_DIFF,0)))</f>
        <v>Централизованная система водоснабжения Безверховского сельского поселения</v>
      </c>
      <c r="O12" s="1667" t="str">
        <f>IF(O9="","",INDEX(DIFFERENTIATION_UNMERGE_SYSTEM,MATCH(O9,DIFFERENTIATION_ID_DIFF,0)))</f>
        <v>Централизованная система водоснабжения Краскинского городского поселения</v>
      </c>
      <c r="P12" s="1667" t="str">
        <f>IF(P9="","",INDEX(DIFFERENTIATION_UNMERGE_SYSTEM,MATCH(P9,DIFFERENTIATION_ID_DIFF,0)))</f>
        <v>Централизованная система водоснабжения Посьетского городского поселения</v>
      </c>
      <c r="Q12" s="1667" t="str">
        <f>IF(Q9="","",INDEX(DIFFERENTIATION_UNMERGE_SYSTEM,MATCH(Q9,DIFFERENTIATION_ID_DIFF,0)))</f>
        <v>Централизованная система водоснабжения Приморского городского поселения</v>
      </c>
      <c r="R12" s="1667" t="str">
        <f>IF(R9="","",INDEX(DIFFERENTIATION_UNMERGE_SYSTEM,MATCH(R9,DIFFERENTIATION_ID_DIFF,0)))</f>
        <v>Централизованная система водоснабжения пгт.Зарубино Хасанского муниципального округа</v>
      </c>
      <c r="S12" s="1667" t="str">
        <f>IF(S9="","",INDEX(DIFFERENTIATION_UNMERGE_SYSTEM,MATCH(S9,DIFFERENTIATION_ID_DIFF,0)))</f>
        <v>Централизованная система водоснабжения пгт. Хасан Хасанского муниципального округа</v>
      </c>
      <c r="T12" s="1667" t="str">
        <f>IF(T9="","",INDEX(DIFFERENTIATION_UNMERGE_SYSTEM,MATCH(T9,DIFFERENTIATION_ID_DIFF,0)))</f>
        <v>Централизованная система водоснабжения Анучинского сельского поселения</v>
      </c>
      <c r="U12" s="1667" t="str">
        <f>IF(U9="","",INDEX(DIFFERENTIATION_UNMERGE_SYSTEM,MATCH(U9,DIFFERENTIATION_ID_DIFF,0)))</f>
        <v>Централизованная система водоснабжения Романовского сельского поселения</v>
      </c>
      <c r="V12" s="1667" t="str">
        <f>IF(V9="","",INDEX(DIFFERENTIATION_UNMERGE_SYSTEM,MATCH(V9,DIFFERENTIATION_ID_DIFF,0)))</f>
        <v>Централизованная система водоснабжения городского округа ЗАТО город Фокино</v>
      </c>
      <c r="W12" s="1667" t="str">
        <f>IF(W9="","",INDEX(DIFFERENTIATION_UNMERGE_SYSTEM,MATCH(W9,DIFFERENTIATION_ID_DIFF,0)))</f>
        <v>Централизованная система водоснабжения Новошахтинского городского поселения</v>
      </c>
      <c r="X12" s="1667" t="str">
        <f>IF(X9="","",INDEX(DIFFERENTIATION_UNMERGE_SYSTEM,MATCH(X9,DIFFERENTIATION_ID_DIFF,0)))</f>
        <v>Централизованная система водоснабжения Дальнегорского городского округа</v>
      </c>
      <c r="Y12" s="1667" t="str">
        <f>IF(Y9="","",INDEX(DIFFERENTIATION_UNMERGE_SYSTEM,MATCH(Y9,DIFFERENTIATION_ID_DIFF,0)))</f>
        <v>Централизованная система водоснабжения Кавалеровского муниципального района</v>
      </c>
      <c r="Z12" s="1667" t="str">
        <f>IF(Z9="","",INDEX(DIFFERENTIATION_UNMERGE_SYSTEM,MATCH(Z9,DIFFERENTIATION_ID_DIFF,0)))</f>
        <v>Централизованная система водоснабжения Дмитриевского сельского поселения</v>
      </c>
      <c r="AA12" s="1667" t="str">
        <f>IF(AA9="","",INDEX(DIFFERENTIATION_UNMERGE_SYSTEM,MATCH(AA9,DIFFERENTIATION_ID_DIFF,0)))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B12" s="1667" t="str">
        <f>IF(AB9="","",INDEX(DIFFERENTIATION_UNMERGE_SYSTEM,MATCH(AB9,DIFFERENTIATION_ID_DIFF,0)))</f>
        <v>Централизованная система водоснабжения Глубинненского сельского поселения</v>
      </c>
      <c r="AC12" s="1667" t="str">
        <f>IF(AC9="","",INDEX(DIFFERENTIATION_UNMERGE_SYSTEM,MATCH(AC9,DIFFERENTIATION_ID_DIFF,0)))</f>
        <v>Централизованная система водоснабжения  Дальнереченского городского округа</v>
      </c>
      <c r="AD12" s="1667" t="str">
        <f>IF(AD9="","",INDEX(DIFFERENTIATION_UNMERGE_SYSTEM,MATCH(AD9,DIFFERENTIATION_ID_DIFF,0)))</f>
        <v>Централизованная истема водоснабжения Варфоломеевского сельского поселения (железнодорожная станция Варфоломеевка)</v>
      </c>
      <c r="AE12" s="1667" t="str">
        <f>IF(AE9="","",INDEX(DIFFERENTIATION_UNMERGE_SYSTEM,MATCH(AE9,DIFFERENTIATION_ID_DIFF,0)))</f>
        <v>Централизованная система водоснабжения Штыковского сельского поселения</v>
      </c>
      <c r="AF12" s="1667" t="str">
        <f>IF(AF9="","",INDEX(DIFFERENTIATION_UNMERGE_SYSTEM,MATCH(AF9,DIFFERENTIATION_ID_DIFF,0)))</f>
        <v>Централизованная система водоснабжения городского округа ЗАТО город Фокино (п.Путятин)</v>
      </c>
      <c r="AG12" s="1667" t="str">
        <f>IF(AG9="","",INDEX(DIFFERENTIATION_UNMERGE_SYSTEM,MATCH(AG9,DIFFERENTIATION_ID_DIFF,0)))</f>
        <v>Централизованная система водоснабжения Реттиховского сельского поселения</v>
      </c>
      <c r="AH12" s="1667" t="str">
        <f>IF(AH9="","",INDEX(DIFFERENTIATION_UNMERGE_SYSTEM,MATCH(AH9,DIFFERENTIATION_ID_DIFF,0)))</f>
        <v>Централизованная система водоснабжения Снегуровского сельского поселения </v>
      </c>
      <c r="AI12" s="1667" t="str">
        <f>IF(AI9="","",INDEX(DIFFERENTIATION_UNMERGE_SYSTEM,MATCH(AI9,DIFFERENTIATION_ID_DIFF,0)))</f>
        <v>Централизованная система водоснабжения Черниговского сельского поселения</v>
      </c>
      <c r="AJ12" s="1667" t="str">
        <f>IF(AJ9="","",INDEX(DIFFERENTIATION_UNMERGE_SYSTEM,MATCH(AJ9,DIFFERENTIATION_ID_DIFF,0)))</f>
        <v>Централизованная система водоснабжения городского округа Спасск-Дальний МКР Лазо</v>
      </c>
      <c r="AK12" s="1667" t="str">
        <f>IF(AK9="","",INDEX(DIFFERENTIATION_UNMERGE_SYSTEM,MATCH(AK9,DIFFERENTIATION_ID_DIFF,0)))</f>
        <v>Централизованная система водоснабжения  Дальнереченского городского округа (в.г.Графский)</v>
      </c>
      <c r="AL12" s="1667" t="str">
        <f>IF(AL9="","",INDEX(DIFFERENTIATION_UNMERGE_SYSTEM,MATCH(AL9,DIFFERENTIATION_ID_DIFF,0)))</f>
        <v>Городской округ Спасск-Дальний</v>
      </c>
      <c r="AM12" s="1667" t="str">
        <f>IF(AM9="","",INDEX(DIFFERENTIATION_UNMERGE_SYSTEM,MATCH(AM9,DIFFERENTIATION_ID_DIFF,0)))</f>
        <v>Дальнегорский ГО</v>
      </c>
      <c r="AN12" s="1667" t="str">
        <f>IF(AN9="","",INDEX(DIFFERENTIATION_UNMERGE_SYSTEM,MATCH(AN9,DIFFERENTIATION_ID_DIFF,0)))</f>
        <v>Кавалеровский МО</v>
      </c>
      <c r="AO12" s="1667" t="str">
        <f>IF(AO9="","",INDEX(DIFFERENTIATION_UNMERGE_SYSTEM,MATCH(AO9,DIFFERENTIATION_ID_DIFF,0)))</f>
        <v>Дальнереченский ГО</v>
      </c>
      <c r="AP12" s="1667" t="str">
        <f>IF(AP9="","",INDEX(DIFFERENTIATION_UNMERGE_SYSTEM,MATCH(AP9,DIFFERENTIATION_ID_DIFF,0)))</f>
        <v>пгт Посьет Хасанский муниципальный округ</v>
      </c>
      <c r="AQ12" s="1667" t="str">
        <f>IF(AQ9="","",INDEX(DIFFERENTIATION_UNMERGE_SYSTEM,MATCH(AQ9,DIFFERENTIATION_ID_DIFF,0)))</f>
        <v>Кавалеровский муниципальный район, Кавалеровкое городское поселение (05610151)</v>
      </c>
      <c r="AR12" s="1667" t="str">
        <f>IF(AR9="","",INDEX(DIFFERENTIATION_UNMERGE_SYSTEM,MATCH(AR9,DIFFERENTIATION_ID_DIFF,0)))</f>
        <v> Михайловский муниципальный район, Новошахтинское городское поселение (05620154)</v>
      </c>
      <c r="AS12" s="1667" t="str">
        <f>IF(AS9="","",INDEX(DIFFERENTIATION_UNMERGE_SYSTEM,MATCH(AS9,DIFFERENTIATION_ID_DIFF,0)))</f>
        <v>Городской округ ЗАТО г.Фокино (пгт. Путятин)</v>
      </c>
      <c r="AT12" s="1667" t="str">
        <f>IF(AT9="","",INDEX(DIFFERENTIATION_UNMERGE_SYSTEM,MATCH(AT9,DIFFERENTIATION_ID_DIFF,0)))</f>
        <v> Черниговский муниципальный район, Черниговское сельское поселение (05653425)</v>
      </c>
      <c r="AU12" s="1667" t="str">
        <f>IF(AU9="","",INDEX(DIFFERENTIATION_UNMERGE_SYSTEM,MATCH(AU9,DIFFERENTIATION_ID_DIFF,0)))</f>
        <v> Дальнегорский городской округ, Дальнегорский городской округ (05707000)</v>
      </c>
      <c r="AV12" s="2144"/>
      <c r="BR12" s="1635">
        <v>1</v>
      </c>
    </row>
    <row customHeight="1" ht="11.549999999999999">
      <c r="E13" s="2386" t="s">
        <v>438</v>
      </c>
      <c r="F13" s="2387"/>
      <c r="G13" s="2387"/>
      <c r="H13" s="1555"/>
      <c r="I13" s="1555"/>
      <c r="J13" s="2384"/>
      <c r="K13" s="2384"/>
      <c r="L13" s="2384"/>
      <c r="M13" s="2384"/>
      <c r="N13" s="2384"/>
      <c r="O13" s="2384"/>
      <c r="P13" s="2384"/>
      <c r="Q13" s="2384"/>
      <c r="R13" s="2384"/>
      <c r="S13" s="2384"/>
      <c r="T13" s="2384"/>
      <c r="U13" s="2384"/>
      <c r="V13" s="2384"/>
      <c r="W13" s="2384"/>
      <c r="X13" s="2384"/>
      <c r="Y13" s="2384"/>
      <c r="Z13" s="2384"/>
      <c r="AA13" s="2384"/>
      <c r="AB13" s="2384"/>
      <c r="AC13" s="2384"/>
      <c r="AD13" s="2384"/>
      <c r="AE13" s="2384"/>
      <c r="AF13" s="2384"/>
      <c r="AG13" s="2384"/>
      <c r="AH13" s="2384"/>
      <c r="AI13" s="2384"/>
      <c r="AJ13" s="2384"/>
      <c r="AK13" s="2384"/>
      <c r="AL13" s="2384"/>
      <c r="AM13" s="2384"/>
      <c r="AN13" s="2384"/>
      <c r="AO13" s="2384"/>
      <c r="AP13" s="2384"/>
      <c r="AQ13" s="2384"/>
      <c r="AR13" s="2384"/>
      <c r="AS13" s="2384"/>
      <c r="AT13" s="2384"/>
      <c r="AU13" s="2384"/>
      <c r="AV13" s="2144"/>
      <c r="BR13" s="1635">
        <v>11</v>
      </c>
    </row>
    <row customHeight="1" ht="24">
      <c r="E14" s="1643" t="s">
        <v>87</v>
      </c>
      <c r="F14" s="1638" t="s">
        <v>440</v>
      </c>
      <c r="G14" s="1638" t="s">
        <v>704</v>
      </c>
      <c r="H14" s="1638" t="s">
        <v>441</v>
      </c>
      <c r="I14" s="1638" t="s">
        <v>441</v>
      </c>
      <c r="J14" s="2383" t="s">
        <v>441</v>
      </c>
      <c r="K14" s="2383" t="s">
        <v>441</v>
      </c>
      <c r="L14" s="2383" t="s">
        <v>441</v>
      </c>
      <c r="M14" s="2383" t="s">
        <v>441</v>
      </c>
      <c r="N14" s="2383" t="s">
        <v>441</v>
      </c>
      <c r="O14" s="2383" t="s">
        <v>441</v>
      </c>
      <c r="P14" s="2383" t="s">
        <v>441</v>
      </c>
      <c r="Q14" s="2383" t="s">
        <v>441</v>
      </c>
      <c r="R14" s="2383" t="s">
        <v>441</v>
      </c>
      <c r="S14" s="2383" t="s">
        <v>441</v>
      </c>
      <c r="T14" s="2383" t="s">
        <v>441</v>
      </c>
      <c r="U14" s="2383" t="s">
        <v>441</v>
      </c>
      <c r="V14" s="2383" t="s">
        <v>441</v>
      </c>
      <c r="W14" s="2383" t="s">
        <v>441</v>
      </c>
      <c r="X14" s="2383" t="s">
        <v>441</v>
      </c>
      <c r="Y14" s="2383" t="s">
        <v>441</v>
      </c>
      <c r="Z14" s="2383" t="s">
        <v>441</v>
      </c>
      <c r="AA14" s="2383" t="s">
        <v>441</v>
      </c>
      <c r="AB14" s="2383" t="s">
        <v>441</v>
      </c>
      <c r="AC14" s="2383" t="s">
        <v>441</v>
      </c>
      <c r="AD14" s="2383" t="s">
        <v>441</v>
      </c>
      <c r="AE14" s="2383" t="s">
        <v>441</v>
      </c>
      <c r="AF14" s="2383" t="s">
        <v>441</v>
      </c>
      <c r="AG14" s="2383" t="s">
        <v>441</v>
      </c>
      <c r="AH14" s="2383" t="s">
        <v>441</v>
      </c>
      <c r="AI14" s="2383" t="s">
        <v>441</v>
      </c>
      <c r="AJ14" s="2383" t="s">
        <v>441</v>
      </c>
      <c r="AK14" s="2383" t="s">
        <v>441</v>
      </c>
      <c r="AL14" s="2383" t="s">
        <v>441</v>
      </c>
      <c r="AM14" s="2383" t="s">
        <v>441</v>
      </c>
      <c r="AN14" s="2383" t="s">
        <v>441</v>
      </c>
      <c r="AO14" s="2383" t="s">
        <v>441</v>
      </c>
      <c r="AP14" s="2383" t="s">
        <v>441</v>
      </c>
      <c r="AQ14" s="2383" t="s">
        <v>441</v>
      </c>
      <c r="AR14" s="2383" t="s">
        <v>441</v>
      </c>
      <c r="AS14" s="2383" t="s">
        <v>441</v>
      </c>
      <c r="AT14" s="2383" t="s">
        <v>441</v>
      </c>
      <c r="AU14" s="2383" t="s">
        <v>441</v>
      </c>
      <c r="AV14" s="2144"/>
      <c r="BR14" s="1635">
        <v>23</v>
      </c>
    </row>
    <row customHeight="1" ht="19.95">
      <c r="D15" s="1642"/>
      <c r="E15" s="1634" t="s">
        <v>105</v>
      </c>
      <c r="F15" s="711" t="s">
        <v>887</v>
      </c>
      <c r="G15" s="1650" t="s">
        <v>690</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293" t="s">
        <v>888</v>
      </c>
      <c r="AW15" s="547" t="s">
        <v>813</v>
      </c>
      <c r="BR15" s="1635">
        <v>19</v>
      </c>
    </row>
    <row customHeight="1" ht="35.699999999999996">
      <c r="D16" s="1642"/>
      <c r="E16" s="1634" t="s">
        <v>102</v>
      </c>
      <c r="F16" s="711" t="s">
        <v>889</v>
      </c>
      <c r="G16" s="1650" t="s">
        <v>690</v>
      </c>
      <c r="H16" s="562">
        <f>SUM(H17,H20,H23,H26,H29:H32,H35)</f>
        <v>0</v>
      </c>
      <c r="I16" s="562">
        <f>SUM(I17,I20,I23,I26,I29:I32,I35)</f>
        <v>0</v>
      </c>
      <c r="J16" s="562">
        <f>SUM(J17,J20,J23,J26,J29:J32,J35)</f>
        <v>0</v>
      </c>
      <c r="K16" s="562">
        <f>SUM(K17,K20,K23,K26,K29:K32,K35)</f>
        <v>0</v>
      </c>
      <c r="L16" s="562">
        <f>SUM(L17,L20,L23,L26,L29:L32,L35)</f>
        <v>0</v>
      </c>
      <c r="M16" s="562">
        <f>SUM(M17,M20,M23,M26,M29:M32,M35)</f>
        <v>0</v>
      </c>
      <c r="N16" s="562">
        <f>SUM(N17,N20,N23,N26,N29:N32,N35)</f>
        <v>0</v>
      </c>
      <c r="O16" s="562">
        <f>SUM(O17,O20,O23,O26,O29:O32,O35)</f>
        <v>0</v>
      </c>
      <c r="P16" s="562">
        <f>SUM(P17,P20,P23,P26,P29:P32,P35)</f>
        <v>0</v>
      </c>
      <c r="Q16" s="562">
        <f>SUM(Q17,Q20,Q23,Q26,Q29:Q32,Q35)</f>
        <v>0</v>
      </c>
      <c r="R16" s="562">
        <f>SUM(R17,R20,R23,R26,R29:R32,R35)</f>
        <v>0</v>
      </c>
      <c r="S16" s="562">
        <f>SUM(S17,S20,S23,S26,S29:S32,S35)</f>
        <v>0</v>
      </c>
      <c r="T16" s="562">
        <f>SUM(T17,T20,T23,T26,T29:T32,T35)</f>
        <v>0</v>
      </c>
      <c r="U16" s="562">
        <f>SUM(U17,U20,U23,U26,U29:U32,U35)</f>
        <v>0</v>
      </c>
      <c r="V16" s="562">
        <f>SUM(V17,V20,V23,V26,V29:V32,V35)</f>
        <v>0</v>
      </c>
      <c r="W16" s="562">
        <f>SUM(W17,W20,W23,W26,W29:W32,W35)</f>
        <v>0</v>
      </c>
      <c r="X16" s="562">
        <f>SUM(X17,X20,X23,X26,X29:X32,X35)</f>
        <v>0</v>
      </c>
      <c r="Y16" s="562">
        <f>SUM(Y17,Y20,Y23,Y26,Y29:Y32,Y35)</f>
        <v>0</v>
      </c>
      <c r="Z16" s="562">
        <f>SUM(Z17,Z20,Z23,Z26,Z29:Z32,Z35)</f>
        <v>0</v>
      </c>
      <c r="AA16" s="562">
        <f>SUM(AA17,AA20,AA23,AA26,AA29:AA32,AA35)</f>
        <v>0</v>
      </c>
      <c r="AB16" s="562">
        <f>SUM(AB17,AB20,AB23,AB26,AB29:AB32,AB35)</f>
        <v>0</v>
      </c>
      <c r="AC16" s="562">
        <f>SUM(AC17,AC20,AC23,AC26,AC29:AC32,AC35)</f>
        <v>0</v>
      </c>
      <c r="AD16" s="562">
        <f>SUM(AD17,AD20,AD23,AD26,AD29:AD32,AD35)</f>
        <v>0</v>
      </c>
      <c r="AE16" s="562">
        <f>SUM(AE17,AE20,AE23,AE26,AE29:AE32,AE35)</f>
        <v>0</v>
      </c>
      <c r="AF16" s="562">
        <f>SUM(AF17,AF20,AF23,AF26,AF29:AF32,AF35)</f>
        <v>0</v>
      </c>
      <c r="AG16" s="562">
        <f>SUM(AG17,AG20,AG23,AG26,AG29:AG32,AG35)</f>
        <v>0</v>
      </c>
      <c r="AH16" s="562">
        <f>SUM(AH17,AH20,AH23,AH26,AH29:AH32,AH35)</f>
        <v>0</v>
      </c>
      <c r="AI16" s="562">
        <f>SUM(AI17,AI20,AI23,AI26,AI29:AI32,AI35)</f>
        <v>0</v>
      </c>
      <c r="AJ16" s="562">
        <f>SUM(AJ17,AJ20,AJ23,AJ26,AJ29:AJ32,AJ35)</f>
        <v>0</v>
      </c>
      <c r="AK16" s="562">
        <f>SUM(AK17,AK20,AK23,AK26,AK29:AK32,AK35)</f>
        <v>0</v>
      </c>
      <c r="AL16" s="562">
        <f>SUM(AL17,AL20,AL23,AL26,AL29:AL32,AL35)</f>
        <v>0</v>
      </c>
      <c r="AM16" s="562">
        <f>SUM(AM17,AM20,AM23,AM26,AM29:AM32,AM35)</f>
        <v>0</v>
      </c>
      <c r="AN16" s="562">
        <f>SUM(AN17,AN20,AN23,AN26,AN29:AN32,AN35)</f>
        <v>0</v>
      </c>
      <c r="AO16" s="562">
        <f>SUM(AO17,AO20,AO23,AO26,AO29:AO32,AO35)</f>
        <v>0</v>
      </c>
      <c r="AP16" s="562">
        <f>SUM(AP17,AP20,AP23,AP26,AP29:AP32,AP35)</f>
        <v>0</v>
      </c>
      <c r="AQ16" s="562">
        <f>SUM(AQ17,AQ20,AQ23,AQ26,AQ29:AQ32,AQ35)</f>
        <v>0</v>
      </c>
      <c r="AR16" s="562">
        <f>SUM(AR17,AR20,AR23,AR26,AR29:AR32,AR35)</f>
        <v>0</v>
      </c>
      <c r="AS16" s="562">
        <f>SUM(AS17,AS20,AS23,AS26,AS29:AS32,AS35)</f>
        <v>0</v>
      </c>
      <c r="AT16" s="562">
        <f>SUM(AT17,AT20,AT23,AT26,AT29:AT32,AT35)</f>
        <v>0</v>
      </c>
      <c r="AU16" s="562">
        <f>SUM(AU17,AU20,AU23,AU26,AU29:AU32,AU35)</f>
        <v>0</v>
      </c>
      <c r="AV16" s="293" t="s">
        <v>890</v>
      </c>
      <c r="AW16" s="547" t="s">
        <v>813</v>
      </c>
      <c r="BR16" s="1635">
        <v>34</v>
      </c>
    </row>
    <row customHeight="1" ht="19.95">
      <c r="D17" s="1642"/>
      <c r="E17" s="1668" t="s">
        <v>891</v>
      </c>
      <c r="F17" s="958" t="s">
        <v>892</v>
      </c>
      <c r="G17" s="1647" t="s">
        <v>690</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293" t="s">
        <v>893</v>
      </c>
      <c r="AW17" s="547"/>
      <c r="BR17" s="1635">
        <v>19</v>
      </c>
    </row>
    <row customHeight="1" ht="24">
      <c r="D18" s="1642"/>
      <c r="E18" s="1668" t="s">
        <v>894</v>
      </c>
      <c r="F18" s="1654" t="s">
        <v>895</v>
      </c>
      <c r="G18" s="1647" t="s">
        <v>690</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293" t="s">
        <v>896</v>
      </c>
      <c r="AW18" s="547"/>
      <c r="BR18" s="1635">
        <v>23</v>
      </c>
    </row>
    <row customHeight="1" ht="35.699999999999996">
      <c r="D19" s="1642"/>
      <c r="E19" s="1668" t="s">
        <v>897</v>
      </c>
      <c r="F19" s="1654" t="s">
        <v>898</v>
      </c>
      <c r="G19" s="1647" t="s">
        <v>690</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293"/>
      <c r="AW19" s="547"/>
      <c r="BR19" s="1635">
        <v>34</v>
      </c>
    </row>
    <row customHeight="1" ht="19.95">
      <c r="D20" s="1642"/>
      <c r="E20" s="1668" t="s">
        <v>445</v>
      </c>
      <c r="F20" s="958" t="s">
        <v>899</v>
      </c>
      <c r="G20" s="1647" t="s">
        <v>690</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293" t="s">
        <v>900</v>
      </c>
      <c r="AW20" s="547"/>
      <c r="BR20" s="1635">
        <v>19</v>
      </c>
    </row>
    <row customHeight="1" ht="19.95">
      <c r="D21" s="1642"/>
      <c r="E21" s="1668" t="s">
        <v>901</v>
      </c>
      <c r="F21" s="1654" t="s">
        <v>902</v>
      </c>
      <c r="G21" s="1647" t="s">
        <v>690</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293"/>
      <c r="AW21" s="547"/>
      <c r="BR21" s="1635">
        <v>19</v>
      </c>
    </row>
    <row customHeight="1" ht="19.95">
      <c r="D22" s="1642"/>
      <c r="E22" s="1668" t="s">
        <v>903</v>
      </c>
      <c r="F22" s="1654" t="s">
        <v>904</v>
      </c>
      <c r="G22" s="1647" t="s">
        <v>690</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293"/>
      <c r="AW22" s="547"/>
      <c r="BR22" s="1635">
        <v>19</v>
      </c>
    </row>
    <row customHeight="1" ht="24">
      <c r="D23" s="1642"/>
      <c r="E23" s="1668" t="s">
        <v>448</v>
      </c>
      <c r="F23" s="958" t="s">
        <v>905</v>
      </c>
      <c r="G23" s="1647" t="s">
        <v>690</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293" t="s">
        <v>906</v>
      </c>
      <c r="AW23" s="547"/>
      <c r="BR23" s="1635">
        <v>23</v>
      </c>
    </row>
    <row customHeight="1" ht="19.95">
      <c r="D24" s="1642"/>
      <c r="E24" s="1668" t="s">
        <v>907</v>
      </c>
      <c r="F24" s="1654" t="s">
        <v>908</v>
      </c>
      <c r="G24" s="1647" t="s">
        <v>690</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293"/>
      <c r="AW24" s="547"/>
      <c r="BR24" s="1635">
        <v>19</v>
      </c>
    </row>
    <row customHeight="1" ht="35.699999999999996">
      <c r="D25" s="1642"/>
      <c r="E25" s="1668" t="s">
        <v>909</v>
      </c>
      <c r="F25" s="1654" t="s">
        <v>910</v>
      </c>
      <c r="G25" s="1647" t="s">
        <v>690</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293"/>
      <c r="AW25" s="547"/>
      <c r="BR25" s="1635">
        <v>34</v>
      </c>
    </row>
    <row customHeight="1" ht="24">
      <c r="D26" s="1642"/>
      <c r="E26" s="1668" t="s">
        <v>911</v>
      </c>
      <c r="F26" s="958" t="s">
        <v>912</v>
      </c>
      <c r="G26" s="1647" t="s">
        <v>690</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293" t="s">
        <v>913</v>
      </c>
      <c r="AW26" s="547"/>
      <c r="BR26" s="1635">
        <v>23</v>
      </c>
    </row>
    <row customHeight="1" ht="19.95">
      <c r="D27" s="1642"/>
      <c r="E27" s="1678" t="s">
        <v>914</v>
      </c>
      <c r="F27" s="1654" t="s">
        <v>915</v>
      </c>
      <c r="G27" s="1658" t="s">
        <v>690</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79"/>
      <c r="AS27" s="1679"/>
      <c r="AT27" s="1679"/>
      <c r="AU27" s="1679"/>
      <c r="AV27" s="293"/>
      <c r="AW27" s="547"/>
      <c r="BR27" s="1635">
        <v>19</v>
      </c>
    </row>
    <row customHeight="1" ht="19.95">
      <c r="D28" s="1642"/>
      <c r="E28" s="1678" t="s">
        <v>916</v>
      </c>
      <c r="F28" s="1654" t="s">
        <v>917</v>
      </c>
      <c r="G28" s="1658" t="s">
        <v>690</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293"/>
      <c r="AW28" s="547"/>
      <c r="BR28" s="1635">
        <v>19</v>
      </c>
    </row>
    <row customHeight="1" ht="19.95">
      <c r="D29" s="1642"/>
      <c r="E29" s="1678" t="s">
        <v>918</v>
      </c>
      <c r="F29" s="958" t="s">
        <v>919</v>
      </c>
      <c r="G29" s="1658" t="s">
        <v>690</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293"/>
      <c r="AW29" s="547"/>
      <c r="BR29" s="1635">
        <v>19</v>
      </c>
    </row>
    <row customHeight="1" ht="19.95">
      <c r="D30" s="1642"/>
      <c r="E30" s="1678" t="s">
        <v>920</v>
      </c>
      <c r="F30" s="958" t="s">
        <v>921</v>
      </c>
      <c r="G30" s="1658" t="s">
        <v>690</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c r="AU30" s="1679"/>
      <c r="AV30" s="293"/>
      <c r="AW30" s="547"/>
      <c r="BR30" s="1635">
        <v>19</v>
      </c>
    </row>
    <row customHeight="1" ht="19.95">
      <c r="D31" s="1642"/>
      <c r="E31" s="1678" t="s">
        <v>922</v>
      </c>
      <c r="F31" s="958" t="s">
        <v>923</v>
      </c>
      <c r="G31" s="1658" t="s">
        <v>690</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79"/>
      <c r="AS31" s="1679"/>
      <c r="AT31" s="1679"/>
      <c r="AU31" s="1679"/>
      <c r="AV31" s="293"/>
      <c r="AW31" s="547"/>
      <c r="BR31" s="1635">
        <v>19</v>
      </c>
    </row>
    <row s="1370" customFormat="1" customHeight="1" ht="35.699999999999996">
      <c r="A32" s="991"/>
      <c r="C32" s="1640"/>
      <c r="D32" s="1642"/>
      <c r="E32" s="1678" t="s">
        <v>924</v>
      </c>
      <c r="F32" s="958" t="s">
        <v>925</v>
      </c>
      <c r="G32" s="1648" t="s">
        <v>690</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583">
        <f>SUM(X33:X34)</f>
        <v>0</v>
      </c>
      <c r="Y32" s="583">
        <f>SUM(Y33:Y34)</f>
        <v>0</v>
      </c>
      <c r="Z32" s="583">
        <f>SUM(Z33:Z34)</f>
        <v>0</v>
      </c>
      <c r="AA32" s="583">
        <f>SUM(AA33:AA34)</f>
        <v>0</v>
      </c>
      <c r="AB32" s="583">
        <f>SUM(AB33:AB34)</f>
        <v>0</v>
      </c>
      <c r="AC32" s="583">
        <f>SUM(AC33:AC34)</f>
        <v>0</v>
      </c>
      <c r="AD32" s="583">
        <f>SUM(AD33:AD34)</f>
        <v>0</v>
      </c>
      <c r="AE32" s="583">
        <f>SUM(AE33:AE34)</f>
        <v>0</v>
      </c>
      <c r="AF32" s="583">
        <f>SUM(AF33:AF34)</f>
        <v>0</v>
      </c>
      <c r="AG32" s="583">
        <f>SUM(AG33:AG34)</f>
        <v>0</v>
      </c>
      <c r="AH32" s="583">
        <f>SUM(AH33:AH34)</f>
        <v>0</v>
      </c>
      <c r="AI32" s="583">
        <f>SUM(AI33:AI34)</f>
        <v>0</v>
      </c>
      <c r="AJ32" s="583">
        <f>SUM(AJ33:AJ34)</f>
        <v>0</v>
      </c>
      <c r="AK32" s="583">
        <f>SUM(AK33:AK34)</f>
        <v>0</v>
      </c>
      <c r="AL32" s="583">
        <f>SUM(AL33:AL34)</f>
        <v>0</v>
      </c>
      <c r="AM32" s="583">
        <f>SUM(AM33:AM34)</f>
        <v>0</v>
      </c>
      <c r="AN32" s="583">
        <f>SUM(AN33:AN34)</f>
        <v>0</v>
      </c>
      <c r="AO32" s="583">
        <f>SUM(AO33:AO34)</f>
        <v>0</v>
      </c>
      <c r="AP32" s="583">
        <f>SUM(AP33:AP34)</f>
        <v>0</v>
      </c>
      <c r="AQ32" s="583">
        <f>SUM(AQ33:AQ34)</f>
        <v>0</v>
      </c>
      <c r="AR32" s="583">
        <f>SUM(AR33:AR34)</f>
        <v>0</v>
      </c>
      <c r="AS32" s="583">
        <f>SUM(AS33:AS34)</f>
        <v>0</v>
      </c>
      <c r="AT32" s="583">
        <f>SUM(AT33:AT34)</f>
        <v>0</v>
      </c>
      <c r="AU32" s="583">
        <f>SUM(AU33:AU34)</f>
        <v>0</v>
      </c>
      <c r="AV32" s="293" t="s">
        <v>926</v>
      </c>
      <c r="AW32" s="547"/>
      <c r="AX32" s="1640"/>
      <c r="AY32" s="1640"/>
      <c r="BD32" s="1640"/>
      <c r="BG32" s="548"/>
      <c r="BM32" s="1636"/>
      <c r="BN32" s="1636"/>
      <c r="BO32" s="1636"/>
      <c r="BP32" s="1636"/>
      <c r="BQ32" s="1636"/>
      <c r="BR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7"/>
      <c r="BR33" s="1640">
        <v>1</v>
      </c>
    </row>
    <row s="1370" customFormat="1" customHeight="1" ht="19.95">
      <c r="A34" s="991"/>
      <c r="C34" s="1640"/>
      <c r="D34" s="1637"/>
      <c r="E34" s="574"/>
      <c r="F34" s="1669" t="s">
        <v>721</v>
      </c>
      <c r="G34" s="576"/>
      <c r="H34" s="577"/>
      <c r="I34" s="577"/>
      <c r="J34" s="2939"/>
      <c r="K34" s="2940"/>
      <c r="L34" s="2941"/>
      <c r="M34" s="2942"/>
      <c r="N34" s="2943"/>
      <c r="O34" s="2944"/>
      <c r="P34" s="2945"/>
      <c r="Q34" s="2946"/>
      <c r="R34" s="2947"/>
      <c r="S34" s="2948"/>
      <c r="T34" s="2949"/>
      <c r="U34" s="2950"/>
      <c r="V34" s="2951"/>
      <c r="W34" s="2952"/>
      <c r="X34" s="2953"/>
      <c r="Y34" s="2954"/>
      <c r="Z34" s="2955"/>
      <c r="AA34" s="2956"/>
      <c r="AB34" s="2957"/>
      <c r="AC34" s="2958"/>
      <c r="AD34" s="2959"/>
      <c r="AE34" s="2960"/>
      <c r="AF34" s="2961"/>
      <c r="AG34" s="2962"/>
      <c r="AH34" s="2963"/>
      <c r="AI34" s="2964"/>
      <c r="AJ34" s="2965"/>
      <c r="AK34" s="2966"/>
      <c r="AL34" s="2967"/>
      <c r="AM34" s="2968"/>
      <c r="AN34" s="2970"/>
      <c r="AO34" s="2971"/>
      <c r="AP34" s="2973"/>
      <c r="AQ34" s="2975"/>
      <c r="AR34" s="2976"/>
      <c r="AS34" s="2977"/>
      <c r="AT34" s="2978"/>
      <c r="AU34" s="2979"/>
      <c r="AV34" s="305" t="s">
        <v>927</v>
      </c>
      <c r="AW34" s="547"/>
      <c r="AX34" s="1640"/>
      <c r="AY34" s="1640"/>
      <c r="BD34" s="1640"/>
      <c r="BG34" s="548"/>
      <c r="BM34" s="1636"/>
      <c r="BN34" s="1636"/>
      <c r="BO34" s="1636"/>
      <c r="BP34" s="1636"/>
      <c r="BQ34" s="1636"/>
      <c r="BR34" s="1164">
        <v>19</v>
      </c>
    </row>
    <row customHeight="1" ht="60">
      <c r="D35" s="1642"/>
      <c r="E35" s="1678" t="s">
        <v>928</v>
      </c>
      <c r="F35" s="958" t="s">
        <v>929</v>
      </c>
      <c r="G35" s="1658" t="s">
        <v>690</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1679"/>
      <c r="AO35" s="1679"/>
      <c r="AP35" s="1679"/>
      <c r="AQ35" s="1679"/>
      <c r="AR35" s="1679"/>
      <c r="AS35" s="1679"/>
      <c r="AT35" s="1679"/>
      <c r="AU35" s="1679"/>
      <c r="AV35" s="293" t="s">
        <v>930</v>
      </c>
      <c r="AW35" s="547"/>
      <c r="BR35" s="1635">
        <v>57</v>
      </c>
    </row>
    <row customHeight="1" ht="19.95">
      <c r="B36" s="1370"/>
      <c r="D36" s="2079"/>
      <c r="E36" s="1678" t="s">
        <v>931</v>
      </c>
      <c r="F36" s="2083" t="s">
        <v>932</v>
      </c>
      <c r="G36" s="2078" t="s">
        <v>690</v>
      </c>
      <c r="H36" s="2084"/>
      <c r="I36" s="2084"/>
      <c r="J36" s="2084"/>
      <c r="K36" s="2084"/>
      <c r="L36" s="2084"/>
      <c r="M36" s="2084"/>
      <c r="N36" s="2084"/>
      <c r="O36" s="2084"/>
      <c r="P36" s="2084"/>
      <c r="Q36" s="2084"/>
      <c r="R36" s="2084"/>
      <c r="S36" s="2084"/>
      <c r="T36" s="2084"/>
      <c r="U36" s="2084"/>
      <c r="V36" s="2084"/>
      <c r="W36" s="2084"/>
      <c r="X36" s="2084"/>
      <c r="Y36" s="2084"/>
      <c r="Z36" s="2084"/>
      <c r="AA36" s="2084"/>
      <c r="AB36" s="2084"/>
      <c r="AC36" s="2084"/>
      <c r="AD36" s="2084"/>
      <c r="AE36" s="2084"/>
      <c r="AF36" s="2084"/>
      <c r="AG36" s="2084"/>
      <c r="AH36" s="2084"/>
      <c r="AI36" s="2084"/>
      <c r="AJ36" s="2084"/>
      <c r="AK36" s="2084"/>
      <c r="AL36" s="2084"/>
      <c r="AM36" s="2084"/>
      <c r="AN36" s="2084"/>
      <c r="AO36" s="2084"/>
      <c r="AP36" s="2084"/>
      <c r="AQ36" s="2084"/>
      <c r="AR36" s="2084"/>
      <c r="AS36" s="2084"/>
      <c r="AT36" s="2084"/>
      <c r="AU36" s="2084"/>
      <c r="AV36" s="2085" t="s">
        <v>933</v>
      </c>
      <c r="AW36" s="547"/>
      <c r="AZ36" s="1370"/>
      <c r="BA36" s="1370"/>
      <c r="BB36" s="1370"/>
      <c r="BC36" s="1370"/>
      <c r="BE36" s="1370"/>
      <c r="BF36" s="1370"/>
      <c r="BH36" s="1370"/>
      <c r="BI36" s="1370"/>
      <c r="BJ36" s="1370"/>
      <c r="BK36" s="1370"/>
      <c r="BL36" s="1370"/>
      <c r="BR36" s="1635">
        <v>19</v>
      </c>
    </row>
    <row customHeight="1" ht="19.95">
      <c r="B37" s="1370"/>
      <c r="D37" s="2079"/>
      <c r="E37" s="1678" t="s">
        <v>934</v>
      </c>
      <c r="F37" s="2083" t="s">
        <v>935</v>
      </c>
      <c r="G37" s="2078" t="s">
        <v>690</v>
      </c>
      <c r="H37" s="2084"/>
      <c r="I37" s="2084"/>
      <c r="J37" s="2084"/>
      <c r="K37" s="2084"/>
      <c r="L37" s="2084"/>
      <c r="M37" s="2084"/>
      <c r="N37" s="2084"/>
      <c r="O37" s="2084"/>
      <c r="P37" s="2084"/>
      <c r="Q37" s="2084"/>
      <c r="R37" s="2084"/>
      <c r="S37" s="2084"/>
      <c r="T37" s="2084"/>
      <c r="U37" s="2084"/>
      <c r="V37" s="2084"/>
      <c r="W37" s="2084"/>
      <c r="X37" s="2084"/>
      <c r="Y37" s="2084"/>
      <c r="Z37" s="2084"/>
      <c r="AA37" s="2084"/>
      <c r="AB37" s="2084"/>
      <c r="AC37" s="2084"/>
      <c r="AD37" s="2084"/>
      <c r="AE37" s="2084"/>
      <c r="AF37" s="2084"/>
      <c r="AG37" s="2084"/>
      <c r="AH37" s="2084"/>
      <c r="AI37" s="2084"/>
      <c r="AJ37" s="2084"/>
      <c r="AK37" s="2084"/>
      <c r="AL37" s="2084"/>
      <c r="AM37" s="2084"/>
      <c r="AN37" s="2084"/>
      <c r="AO37" s="2084"/>
      <c r="AP37" s="2084"/>
      <c r="AQ37" s="2084"/>
      <c r="AR37" s="2084"/>
      <c r="AS37" s="2084"/>
      <c r="AT37" s="2084"/>
      <c r="AU37" s="2084"/>
      <c r="AV37" s="2085" t="s">
        <v>936</v>
      </c>
      <c r="AW37" s="547"/>
      <c r="AZ37" s="1370"/>
      <c r="BA37" s="1370"/>
      <c r="BB37" s="1370"/>
      <c r="BC37" s="1370"/>
      <c r="BE37" s="1370"/>
      <c r="BF37" s="1370"/>
      <c r="BH37" s="1370"/>
      <c r="BI37" s="1370"/>
      <c r="BJ37" s="1370"/>
      <c r="BK37" s="1370"/>
      <c r="BL37" s="1370"/>
      <c r="BR37" s="1635">
        <v>19</v>
      </c>
    </row>
    <row s="1370" customFormat="1" customHeight="1" ht="24">
      <c r="A38" s="993" t="s">
        <v>722</v>
      </c>
      <c r="C38" s="1640"/>
      <c r="D38" s="1642"/>
      <c r="E38" s="1668" t="s">
        <v>89</v>
      </c>
      <c r="F38" s="711" t="s">
        <v>937</v>
      </c>
      <c r="G38" s="1647" t="s">
        <v>690</v>
      </c>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293" t="s">
        <v>938</v>
      </c>
      <c r="AW38" s="547"/>
      <c r="AX38" s="1640"/>
      <c r="AY38" s="1640"/>
      <c r="BD38" s="1640"/>
      <c r="BG38" s="548"/>
      <c r="BM38" s="1636"/>
      <c r="BN38" s="1636"/>
      <c r="BO38" s="1636"/>
      <c r="BP38" s="1636"/>
      <c r="BQ38" s="1636"/>
      <c r="BR38" s="1164">
        <v>23</v>
      </c>
    </row>
    <row s="1370" customFormat="1" customHeight="1" ht="35.699999999999996">
      <c r="A39" s="993"/>
      <c r="C39" s="1640"/>
      <c r="D39" s="1642"/>
      <c r="E39" s="1668" t="s">
        <v>462</v>
      </c>
      <c r="F39" s="958" t="s">
        <v>939</v>
      </c>
      <c r="G39" s="1658"/>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293"/>
      <c r="AW39" s="547"/>
      <c r="AX39" s="1640"/>
      <c r="AY39" s="1640"/>
      <c r="BD39" s="1640"/>
      <c r="BG39" s="548"/>
      <c r="BM39" s="1636"/>
      <c r="BN39" s="1636"/>
      <c r="BO39" s="1636"/>
      <c r="BP39" s="1636"/>
      <c r="BQ39" s="1636"/>
      <c r="BR39" s="1164">
        <v>34</v>
      </c>
    </row>
    <row s="1370" customFormat="1" customHeight="1" ht="19.95">
      <c r="A40" s="991"/>
      <c r="C40" s="1640"/>
      <c r="D40" s="579"/>
      <c r="E40" s="1668" t="s">
        <v>90</v>
      </c>
      <c r="F40" s="711" t="s">
        <v>940</v>
      </c>
      <c r="G40" s="1647" t="s">
        <v>690</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293" t="s">
        <v>941</v>
      </c>
      <c r="AW40" s="547"/>
      <c r="AX40" s="1640"/>
      <c r="AY40" s="1640"/>
      <c r="BD40" s="1640"/>
      <c r="BG40" s="548"/>
      <c r="BM40" s="1636"/>
      <c r="BN40" s="1636"/>
      <c r="BO40" s="1636"/>
      <c r="BP40" s="1636"/>
      <c r="BQ40" s="1636"/>
      <c r="BR40" s="1164">
        <v>19</v>
      </c>
    </row>
    <row s="1370" customFormat="1" customHeight="1" ht="24">
      <c r="A41" s="991"/>
      <c r="C41" s="1640"/>
      <c r="D41" s="579"/>
      <c r="E41" s="1668" t="s">
        <v>942</v>
      </c>
      <c r="F41" s="958" t="s">
        <v>943</v>
      </c>
      <c r="G41" s="1658" t="s">
        <v>690</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293" t="s">
        <v>944</v>
      </c>
      <c r="AW41" s="547"/>
      <c r="AX41" s="1640"/>
      <c r="AY41" s="1640"/>
      <c r="BD41" s="1640"/>
      <c r="BG41" s="548"/>
      <c r="BM41" s="1636"/>
      <c r="BN41" s="1636"/>
      <c r="BO41" s="1636"/>
      <c r="BP41" s="1636"/>
      <c r="BQ41" s="1636"/>
      <c r="BR41" s="1164">
        <v>23</v>
      </c>
    </row>
    <row s="1370" customFormat="1" customHeight="1" ht="24">
      <c r="A42" s="991"/>
      <c r="C42" s="1640"/>
      <c r="D42" s="1642"/>
      <c r="E42" s="1668" t="s">
        <v>945</v>
      </c>
      <c r="F42" s="1654" t="s">
        <v>946</v>
      </c>
      <c r="G42" s="1647" t="s">
        <v>690</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293" t="s">
        <v>947</v>
      </c>
      <c r="AW42" s="547"/>
      <c r="AX42" s="1640"/>
      <c r="AY42" s="1640"/>
      <c r="BD42" s="1640"/>
      <c r="BG42" s="548"/>
      <c r="BM42" s="1636"/>
      <c r="BN42" s="1636"/>
      <c r="BO42" s="1636"/>
      <c r="BP42" s="1636"/>
      <c r="BQ42" s="1636"/>
      <c r="BR42" s="1164">
        <v>23</v>
      </c>
    </row>
    <row s="1370" customFormat="1" customHeight="1" ht="24">
      <c r="A43" s="991"/>
      <c r="C43" s="1640"/>
      <c r="D43" s="1642"/>
      <c r="E43" s="1668" t="s">
        <v>948</v>
      </c>
      <c r="F43" s="1654" t="s">
        <v>949</v>
      </c>
      <c r="G43" s="1647" t="s">
        <v>690</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293" t="s">
        <v>950</v>
      </c>
      <c r="AW43" s="547"/>
      <c r="AX43" s="1640"/>
      <c r="AY43" s="1640"/>
      <c r="BD43" s="1640"/>
      <c r="BG43" s="548"/>
      <c r="BM43" s="1636"/>
      <c r="BN43" s="1636"/>
      <c r="BO43" s="1636"/>
      <c r="BP43" s="1636"/>
      <c r="BQ43" s="1636"/>
      <c r="BR43" s="1164">
        <v>23</v>
      </c>
    </row>
    <row s="1370" customFormat="1" customHeight="1" ht="24">
      <c r="A44" s="991"/>
      <c r="C44" s="1640"/>
      <c r="D44" s="1642"/>
      <c r="E44" s="1668" t="s">
        <v>951</v>
      </c>
      <c r="F44" s="1654" t="s">
        <v>952</v>
      </c>
      <c r="G44" s="1647" t="s">
        <v>690</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293" t="s">
        <v>953</v>
      </c>
      <c r="AW44" s="547"/>
      <c r="AX44" s="1640"/>
      <c r="AY44" s="1640"/>
      <c r="BD44" s="1640"/>
      <c r="BG44" s="548"/>
      <c r="BM44" s="1636"/>
      <c r="BN44" s="1636"/>
      <c r="BO44" s="1636"/>
      <c r="BP44" s="1636"/>
      <c r="BQ44" s="1636"/>
      <c r="BR44" s="1164">
        <v>23</v>
      </c>
    </row>
    <row s="1370" customFormat="1" customHeight="1" ht="35.699999999999996">
      <c r="A45" s="991"/>
      <c r="C45" s="1640" t="s">
        <v>724</v>
      </c>
      <c r="D45" s="1642"/>
      <c r="E45" s="1668" t="s">
        <v>120</v>
      </c>
      <c r="F45" s="711" t="s">
        <v>812</v>
      </c>
      <c r="G45" s="1650" t="s">
        <v>954</v>
      </c>
      <c r="H45" s="405"/>
      <c r="I45" s="405"/>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293" t="s">
        <v>955</v>
      </c>
      <c r="AW45" s="547"/>
      <c r="AX45" s="1640"/>
      <c r="AY45" s="1640"/>
      <c r="BD45" s="1640"/>
      <c r="BG45" s="548"/>
      <c r="BM45" s="1636"/>
      <c r="BN45" s="1636"/>
      <c r="BO45" s="1636"/>
      <c r="BP45" s="1636"/>
      <c r="BQ45" s="1636"/>
      <c r="BR45" s="1164">
        <v>34</v>
      </c>
    </row>
    <row s="1370" customFormat="1" customHeight="1" ht="35.699999999999996">
      <c r="A46" s="991"/>
      <c r="C46" s="1640"/>
      <c r="D46" s="1642"/>
      <c r="E46" s="1668" t="s">
        <v>91</v>
      </c>
      <c r="F46" s="711" t="s">
        <v>956</v>
      </c>
      <c r="G46" s="1647" t="s">
        <v>957</v>
      </c>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293" t="s">
        <v>958</v>
      </c>
      <c r="AW46" s="547"/>
      <c r="AX46" s="1640"/>
      <c r="AY46" s="1640"/>
      <c r="BD46" s="1640"/>
      <c r="BG46" s="548"/>
      <c r="BM46" s="1636"/>
      <c r="BN46" s="1636"/>
      <c r="BO46" s="1636"/>
      <c r="BP46" s="1636"/>
      <c r="BQ46" s="1636"/>
      <c r="BR46" s="1164">
        <v>34</v>
      </c>
    </row>
    <row s="1370" customFormat="1" customHeight="1" ht="24">
      <c r="A47" s="991"/>
      <c r="C47" s="1640"/>
      <c r="D47" s="1642"/>
      <c r="E47" s="1668" t="s">
        <v>92</v>
      </c>
      <c r="F47" s="711" t="s">
        <v>959</v>
      </c>
      <c r="G47" s="1658" t="s">
        <v>960</v>
      </c>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293" t="s">
        <v>961</v>
      </c>
      <c r="AW47" s="547"/>
      <c r="AX47" s="1640"/>
      <c r="AY47" s="1640"/>
      <c r="BD47" s="1640"/>
      <c r="BG47" s="548"/>
      <c r="BM47" s="1636"/>
      <c r="BN47" s="1636"/>
      <c r="BO47" s="1636"/>
      <c r="BP47" s="1636"/>
      <c r="BQ47" s="1636"/>
      <c r="BR47" s="1164">
        <v>23</v>
      </c>
    </row>
    <row s="1370" customFormat="1" customHeight="1" ht="19.95">
      <c r="A48" s="991"/>
      <c r="C48" s="1640"/>
      <c r="D48" s="1642"/>
      <c r="E48" s="1668" t="s">
        <v>133</v>
      </c>
      <c r="F48" s="711" t="s">
        <v>962</v>
      </c>
      <c r="G48" s="1647" t="s">
        <v>735</v>
      </c>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293"/>
      <c r="AW48" s="547"/>
      <c r="AX48" s="1640"/>
      <c r="AY48" s="1640"/>
      <c r="BD48" s="1640"/>
      <c r="BG48" s="548"/>
      <c r="BM48" s="1636"/>
      <c r="BN48" s="1636"/>
      <c r="BO48" s="1636"/>
      <c r="BP48" s="1636"/>
      <c r="BQ48" s="1636"/>
      <c r="BR48" s="1164">
        <v>19</v>
      </c>
    </row>
    <row customHeight="1" ht="11.549999999999999">
      <c r="D49" s="1642"/>
      <c r="J49" s="1639"/>
      <c r="K49" s="1639"/>
      <c r="L49" s="1639"/>
      <c r="M49" s="1639"/>
      <c r="N49" s="1639"/>
      <c r="O49" s="1639"/>
      <c r="P49" s="1639"/>
      <c r="Q49" s="1639"/>
      <c r="R49" s="1639"/>
      <c r="S49" s="1639"/>
      <c r="T49" s="1639"/>
      <c r="U49" s="1639"/>
      <c r="V49" s="1639"/>
      <c r="W49" s="1639"/>
      <c r="X49" s="1639"/>
      <c r="Y49" s="1639"/>
      <c r="Z49" s="1639"/>
      <c r="AA49" s="1639"/>
      <c r="AB49" s="1639"/>
      <c r="AC49" s="1639"/>
      <c r="AD49" s="1639"/>
      <c r="AE49" s="1639"/>
      <c r="AF49" s="1639"/>
      <c r="AG49" s="1639"/>
      <c r="AH49" s="1639"/>
      <c r="AI49" s="1639"/>
      <c r="AJ49" s="1639"/>
      <c r="AK49" s="1639"/>
      <c r="AL49" s="1639"/>
      <c r="AM49" s="1639"/>
      <c r="AN49" s="1639"/>
      <c r="AO49" s="1639"/>
      <c r="AP49" s="1639"/>
      <c r="AQ49" s="1639"/>
      <c r="AR49" s="1639"/>
      <c r="AS49" s="1639"/>
      <c r="AT49" s="1639"/>
      <c r="AU49" s="1639"/>
      <c r="BR49" s="163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W50" s="1164"/>
      <c r="AX50" s="1640"/>
      <c r="AY50" s="1640"/>
      <c r="AZ50" s="1164"/>
      <c r="BA50" s="1164"/>
      <c r="BB50" s="1164"/>
      <c r="BC50" s="1164"/>
      <c r="BD50" s="1640"/>
      <c r="BE50" s="1164"/>
      <c r="BF50" s="1164"/>
      <c r="BG50" s="548"/>
      <c r="BH50" s="1164"/>
      <c r="BI50" s="1164"/>
      <c r="BJ50" s="1164"/>
      <c r="BK50" s="1164"/>
      <c r="BL50" s="1164"/>
      <c r="BM50" s="1636"/>
      <c r="BN50" s="570"/>
      <c r="BO50" s="570"/>
      <c r="BP50" s="570"/>
      <c r="BQ50" s="570"/>
      <c r="BR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W51" s="1164"/>
      <c r="AX51" s="1640"/>
      <c r="AY51" s="1640"/>
      <c r="AZ51" s="1164"/>
      <c r="BA51" s="1164"/>
      <c r="BB51" s="1164"/>
      <c r="BC51" s="1164"/>
      <c r="BD51" s="1640"/>
      <c r="BE51" s="1164"/>
      <c r="BF51" s="1164"/>
      <c r="BG51" s="548"/>
      <c r="BH51" s="1164"/>
      <c r="BI51" s="1164"/>
      <c r="BJ51" s="1164"/>
      <c r="BK51" s="1164"/>
      <c r="BL51" s="1164"/>
      <c r="BM51" s="1636"/>
      <c r="BN51" s="570"/>
      <c r="BO51" s="570"/>
      <c r="BP51" s="570"/>
      <c r="BQ51" s="570"/>
      <c r="BR51" s="1645">
        <v>11</v>
      </c>
    </row>
    <row s="1645" customFormat="1" customHeight="1" ht="11.549999999999999">
      <c r="A52" s="991"/>
      <c r="B52" s="1640"/>
      <c r="C52" s="1640"/>
      <c r="D52" s="355"/>
      <c r="H52" s="570"/>
      <c r="I52" s="570"/>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W52" s="1164"/>
      <c r="AX52" s="1640"/>
      <c r="AY52" s="1640"/>
      <c r="AZ52" s="1164"/>
      <c r="BA52" s="1164"/>
      <c r="BB52" s="1164"/>
      <c r="BC52" s="1164"/>
      <c r="BD52" s="1640"/>
      <c r="BE52" s="1164"/>
      <c r="BF52" s="1164"/>
      <c r="BG52" s="548"/>
      <c r="BH52" s="1164"/>
      <c r="BI52" s="1164"/>
      <c r="BJ52" s="1164"/>
      <c r="BK52" s="1164"/>
      <c r="BL52" s="1164"/>
      <c r="BM52" s="1636"/>
      <c r="BN52" s="570"/>
      <c r="BO52" s="570"/>
      <c r="BP52" s="570"/>
      <c r="BQ52" s="570"/>
      <c r="BR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W53" s="1164"/>
      <c r="AX53" s="1640"/>
      <c r="AY53" s="1640"/>
      <c r="AZ53" s="1164"/>
      <c r="BA53" s="1164"/>
      <c r="BB53" s="1164"/>
      <c r="BC53" s="1164"/>
      <c r="BD53" s="1640"/>
      <c r="BE53" s="1164"/>
      <c r="BF53" s="1164"/>
      <c r="BG53" s="548"/>
      <c r="BH53" s="1164"/>
      <c r="BI53" s="1164"/>
      <c r="BJ53" s="1164"/>
      <c r="BK53" s="1164"/>
      <c r="BL53" s="1164"/>
      <c r="BM53" s="1636"/>
      <c r="BN53" s="570"/>
      <c r="BO53" s="570"/>
      <c r="BP53" s="570"/>
      <c r="BQ53" s="570"/>
      <c r="BR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W54" s="1164"/>
      <c r="AX54" s="1640"/>
      <c r="AY54" s="1640"/>
      <c r="AZ54" s="1164"/>
      <c r="BA54" s="1164"/>
      <c r="BB54" s="1164"/>
      <c r="BC54" s="1164"/>
      <c r="BD54" s="1640"/>
      <c r="BE54" s="1164"/>
      <c r="BF54" s="1164"/>
      <c r="BG54" s="548"/>
      <c r="BH54" s="1164"/>
      <c r="BI54" s="1164"/>
      <c r="BJ54" s="1164"/>
      <c r="BK54" s="1164"/>
      <c r="BL54" s="1164"/>
      <c r="BM54" s="1636"/>
      <c r="BN54" s="570"/>
      <c r="BO54" s="570"/>
      <c r="BP54" s="570"/>
      <c r="BQ54" s="570"/>
      <c r="BR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W55" s="1164"/>
      <c r="AX55" s="1640"/>
      <c r="AY55" s="1640"/>
      <c r="AZ55" s="1164"/>
      <c r="BA55" s="1164"/>
      <c r="BB55" s="1164"/>
      <c r="BC55" s="1164"/>
      <c r="BD55" s="1640"/>
      <c r="BE55" s="1164"/>
      <c r="BF55" s="1164"/>
      <c r="BG55" s="548"/>
      <c r="BH55" s="1164"/>
      <c r="BI55" s="1164"/>
      <c r="BJ55" s="1164"/>
      <c r="BK55" s="1164"/>
      <c r="BL55" s="1164"/>
      <c r="BM55" s="1636"/>
      <c r="BN55" s="570"/>
      <c r="BO55" s="570"/>
      <c r="BP55" s="570"/>
      <c r="BQ55" s="570"/>
      <c r="BR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W56" s="1164"/>
      <c r="AX56" s="1640"/>
      <c r="AY56" s="1640"/>
      <c r="AZ56" s="1164"/>
      <c r="BA56" s="1164"/>
      <c r="BB56" s="1164"/>
      <c r="BC56" s="1164"/>
      <c r="BD56" s="1640"/>
      <c r="BE56" s="1164"/>
      <c r="BF56" s="1164"/>
      <c r="BG56" s="548"/>
      <c r="BH56" s="1164"/>
      <c r="BI56" s="1164"/>
      <c r="BJ56" s="1164"/>
      <c r="BK56" s="1164"/>
      <c r="BL56" s="1164"/>
      <c r="BM56" s="1636"/>
      <c r="BN56" s="570"/>
      <c r="BO56" s="570"/>
      <c r="BP56" s="570"/>
      <c r="BQ56" s="570"/>
      <c r="BR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W57" s="1164"/>
      <c r="AX57" s="1640"/>
      <c r="AY57" s="1640"/>
      <c r="AZ57" s="1164"/>
      <c r="BA57" s="1164"/>
      <c r="BB57" s="1164"/>
      <c r="BC57" s="1164"/>
      <c r="BD57" s="1640"/>
      <c r="BE57" s="1164"/>
      <c r="BF57" s="1164"/>
      <c r="BG57" s="548"/>
      <c r="BH57" s="1164"/>
      <c r="BI57" s="1164"/>
      <c r="BJ57" s="1164"/>
      <c r="BK57" s="1164"/>
      <c r="BL57" s="1164"/>
      <c r="BM57" s="1636"/>
      <c r="BN57" s="570"/>
      <c r="BO57" s="570"/>
      <c r="BP57" s="570"/>
      <c r="BQ57" s="570"/>
      <c r="BR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W58" s="1164"/>
      <c r="AX58" s="1640"/>
      <c r="AY58" s="1640"/>
      <c r="AZ58" s="1164"/>
      <c r="BA58" s="1164"/>
      <c r="BB58" s="1164"/>
      <c r="BC58" s="1164"/>
      <c r="BD58" s="1640"/>
      <c r="BE58" s="1164"/>
      <c r="BF58" s="1164"/>
      <c r="BG58" s="548"/>
      <c r="BH58" s="1164"/>
      <c r="BI58" s="1164"/>
      <c r="BJ58" s="1164"/>
      <c r="BK58" s="1164"/>
      <c r="BL58" s="1164"/>
      <c r="BM58" s="1636"/>
      <c r="BN58" s="570"/>
      <c r="BO58" s="570"/>
      <c r="BP58" s="570"/>
      <c r="BQ58" s="570"/>
      <c r="BR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W59" s="1164"/>
      <c r="AX59" s="1640"/>
      <c r="AY59" s="1640"/>
      <c r="AZ59" s="1164"/>
      <c r="BA59" s="1164"/>
      <c r="BB59" s="1164"/>
      <c r="BC59" s="1164"/>
      <c r="BD59" s="1640"/>
      <c r="BE59" s="1164"/>
      <c r="BF59" s="1164"/>
      <c r="BG59" s="548"/>
      <c r="BH59" s="1164"/>
      <c r="BI59" s="1164"/>
      <c r="BJ59" s="1164"/>
      <c r="BK59" s="1164"/>
      <c r="BL59" s="1164"/>
      <c r="BM59" s="1636"/>
      <c r="BN59" s="570"/>
      <c r="BO59" s="570"/>
      <c r="BP59" s="570"/>
      <c r="BQ59" s="570"/>
      <c r="BR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W60" s="1164"/>
      <c r="AX60" s="1640"/>
      <c r="AY60" s="1640"/>
      <c r="AZ60" s="1164"/>
      <c r="BA60" s="1164"/>
      <c r="BB60" s="1164"/>
      <c r="BC60" s="1164"/>
      <c r="BD60" s="1640"/>
      <c r="BE60" s="1164"/>
      <c r="BF60" s="1164"/>
      <c r="BG60" s="548"/>
      <c r="BH60" s="1164"/>
      <c r="BI60" s="1164"/>
      <c r="BJ60" s="1164"/>
      <c r="BK60" s="1164"/>
      <c r="BL60" s="1164"/>
      <c r="BM60" s="1636"/>
      <c r="BN60" s="570"/>
      <c r="BO60" s="570"/>
      <c r="BP60" s="570"/>
      <c r="BQ60" s="570"/>
      <c r="BR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W61" s="1164"/>
      <c r="AX61" s="1640"/>
      <c r="AY61" s="1640"/>
      <c r="AZ61" s="1164"/>
      <c r="BA61" s="1164"/>
      <c r="BB61" s="1164"/>
      <c r="BC61" s="1164"/>
      <c r="BD61" s="1640"/>
      <c r="BE61" s="1164"/>
      <c r="BF61" s="1164"/>
      <c r="BG61" s="548"/>
      <c r="BH61" s="1164"/>
      <c r="BI61" s="1164"/>
      <c r="BJ61" s="1164"/>
      <c r="BK61" s="1164"/>
      <c r="BL61" s="1164"/>
      <c r="BM61" s="1636"/>
      <c r="BN61" s="570"/>
      <c r="BO61" s="570"/>
      <c r="BP61" s="570"/>
      <c r="BQ61" s="570"/>
      <c r="BR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W62" s="1164"/>
      <c r="AX62" s="1640"/>
      <c r="AY62" s="1640"/>
      <c r="AZ62" s="1164"/>
      <c r="BA62" s="1164"/>
      <c r="BB62" s="1164"/>
      <c r="BC62" s="1164"/>
      <c r="BD62" s="1640"/>
      <c r="BE62" s="1164"/>
      <c r="BF62" s="1164"/>
      <c r="BG62" s="548"/>
      <c r="BH62" s="1164"/>
      <c r="BI62" s="1164"/>
      <c r="BJ62" s="1164"/>
      <c r="BK62" s="1164"/>
      <c r="BL62" s="1164"/>
      <c r="BM62" s="1636"/>
      <c r="BN62" s="570"/>
      <c r="BO62" s="570"/>
      <c r="BP62" s="570"/>
      <c r="BQ62" s="570"/>
      <c r="BR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W63" s="1164"/>
      <c r="AX63" s="1640"/>
      <c r="AY63" s="1640"/>
      <c r="AZ63" s="1164"/>
      <c r="BA63" s="1164"/>
      <c r="BB63" s="1164"/>
      <c r="BC63" s="1164"/>
      <c r="BD63" s="1640"/>
      <c r="BE63" s="1164"/>
      <c r="BF63" s="1164"/>
      <c r="BG63" s="548"/>
      <c r="BH63" s="1164"/>
      <c r="BI63" s="1164"/>
      <c r="BJ63" s="1164"/>
      <c r="BK63" s="1164"/>
      <c r="BL63" s="1164"/>
      <c r="BM63" s="1636"/>
      <c r="BN63" s="570"/>
      <c r="BO63" s="570"/>
      <c r="BP63" s="570"/>
      <c r="BQ63" s="570"/>
      <c r="BR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W64" s="1164"/>
      <c r="AX64" s="1640"/>
      <c r="AY64" s="1640"/>
      <c r="AZ64" s="1164"/>
      <c r="BA64" s="1164"/>
      <c r="BB64" s="1164"/>
      <c r="BC64" s="1164"/>
      <c r="BD64" s="1640"/>
      <c r="BE64" s="1164"/>
      <c r="BF64" s="1164"/>
      <c r="BG64" s="548"/>
      <c r="BH64" s="1164"/>
      <c r="BI64" s="1164"/>
      <c r="BJ64" s="1164"/>
      <c r="BK64" s="1164"/>
      <c r="BL64" s="1164"/>
      <c r="BM64" s="1636"/>
      <c r="BN64" s="570"/>
      <c r="BO64" s="570"/>
      <c r="BP64" s="570"/>
      <c r="BQ64" s="570"/>
      <c r="BR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W65" s="1164"/>
      <c r="AX65" s="1640"/>
      <c r="AY65" s="1640"/>
      <c r="AZ65" s="1164"/>
      <c r="BA65" s="1164"/>
      <c r="BB65" s="1164"/>
      <c r="BC65" s="1164"/>
      <c r="BD65" s="1640"/>
      <c r="BE65" s="1164"/>
      <c r="BF65" s="1164"/>
      <c r="BG65" s="548"/>
      <c r="BH65" s="1164"/>
      <c r="BI65" s="1164"/>
      <c r="BJ65" s="1164"/>
      <c r="BK65" s="1164"/>
      <c r="BL65" s="1164"/>
      <c r="BM65" s="1636"/>
      <c r="BN65" s="570"/>
      <c r="BO65" s="570"/>
      <c r="BP65" s="570"/>
      <c r="BQ65" s="570"/>
      <c r="BR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W66" s="1164"/>
      <c r="AX66" s="1640"/>
      <c r="AY66" s="1640"/>
      <c r="AZ66" s="1164"/>
      <c r="BA66" s="1164"/>
      <c r="BB66" s="1164"/>
      <c r="BC66" s="1164"/>
      <c r="BD66" s="1640"/>
      <c r="BE66" s="1164"/>
      <c r="BF66" s="1164"/>
      <c r="BG66" s="548"/>
      <c r="BH66" s="1164"/>
      <c r="BI66" s="1164"/>
      <c r="BJ66" s="1164"/>
      <c r="BK66" s="1164"/>
      <c r="BL66" s="1164"/>
      <c r="BM66" s="1636"/>
      <c r="BN66" s="570"/>
      <c r="BO66" s="570"/>
      <c r="BP66" s="570"/>
      <c r="BQ66" s="570"/>
      <c r="BR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W67" s="1164"/>
      <c r="AX67" s="1640"/>
      <c r="AY67" s="1640"/>
      <c r="AZ67" s="1164"/>
      <c r="BA67" s="1164"/>
      <c r="BB67" s="1164"/>
      <c r="BC67" s="1164"/>
      <c r="BD67" s="1640"/>
      <c r="BE67" s="1164"/>
      <c r="BF67" s="1164"/>
      <c r="BG67" s="548"/>
      <c r="BH67" s="1164"/>
      <c r="BI67" s="1164"/>
      <c r="BJ67" s="1164"/>
      <c r="BK67" s="1164"/>
      <c r="BL67" s="1164"/>
      <c r="BM67" s="1636"/>
      <c r="BN67" s="570"/>
      <c r="BO67" s="570"/>
      <c r="BP67" s="570"/>
      <c r="BQ67" s="570"/>
      <c r="BR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W68" s="1164"/>
      <c r="AX68" s="1640"/>
      <c r="AY68" s="1640"/>
      <c r="AZ68" s="1164"/>
      <c r="BA68" s="1164"/>
      <c r="BB68" s="1164"/>
      <c r="BC68" s="1164"/>
      <c r="BD68" s="1640"/>
      <c r="BE68" s="1164"/>
      <c r="BF68" s="1164"/>
      <c r="BG68" s="548"/>
      <c r="BH68" s="1164"/>
      <c r="BI68" s="1164"/>
      <c r="BJ68" s="1164"/>
      <c r="BK68" s="1164"/>
      <c r="BL68" s="1164"/>
      <c r="BM68" s="1636"/>
      <c r="BN68" s="570"/>
      <c r="BO68" s="570"/>
      <c r="BP68" s="570"/>
      <c r="BQ68" s="570"/>
      <c r="BR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W69" s="1164"/>
      <c r="AX69" s="1640"/>
      <c r="AY69" s="1640"/>
      <c r="AZ69" s="1164"/>
      <c r="BA69" s="1164"/>
      <c r="BB69" s="1164"/>
      <c r="BC69" s="1164"/>
      <c r="BD69" s="1640"/>
      <c r="BE69" s="1164"/>
      <c r="BF69" s="1164"/>
      <c r="BG69" s="548"/>
      <c r="BH69" s="1164"/>
      <c r="BI69" s="1164"/>
      <c r="BJ69" s="1164"/>
      <c r="BK69" s="1164"/>
      <c r="BL69" s="1164"/>
      <c r="BM69" s="1636"/>
      <c r="BN69" s="570"/>
      <c r="BO69" s="570"/>
      <c r="BP69" s="570"/>
      <c r="BQ69" s="570"/>
      <c r="BR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W70" s="1164"/>
      <c r="AX70" s="1640"/>
      <c r="AY70" s="1640"/>
      <c r="AZ70" s="1164"/>
      <c r="BA70" s="1164"/>
      <c r="BB70" s="1164"/>
      <c r="BC70" s="1164"/>
      <c r="BD70" s="1640"/>
      <c r="BE70" s="1164"/>
      <c r="BF70" s="1164"/>
      <c r="BG70" s="548"/>
      <c r="BH70" s="1164"/>
      <c r="BI70" s="1164"/>
      <c r="BJ70" s="1164"/>
      <c r="BK70" s="1164"/>
      <c r="BL70" s="1164"/>
      <c r="BM70" s="1636"/>
      <c r="BN70" s="570"/>
      <c r="BO70" s="570"/>
      <c r="BP70" s="570"/>
      <c r="BQ70" s="570"/>
      <c r="BR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W71" s="1164"/>
      <c r="AX71" s="1640"/>
      <c r="AY71" s="1640"/>
      <c r="AZ71" s="1164"/>
      <c r="BA71" s="1164"/>
      <c r="BB71" s="1164"/>
      <c r="BC71" s="1164"/>
      <c r="BD71" s="1640"/>
      <c r="BE71" s="1164"/>
      <c r="BF71" s="1164"/>
      <c r="BG71" s="548"/>
      <c r="BH71" s="1164"/>
      <c r="BI71" s="1164"/>
      <c r="BJ71" s="1164"/>
      <c r="BK71" s="1164"/>
      <c r="BL71" s="1164"/>
      <c r="BM71" s="1636"/>
      <c r="BN71" s="570"/>
      <c r="BO71" s="570"/>
      <c r="BP71" s="570"/>
      <c r="BQ71" s="570"/>
      <c r="BR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W72" s="1164"/>
      <c r="AX72" s="1640"/>
      <c r="AY72" s="1640"/>
      <c r="AZ72" s="1164"/>
      <c r="BA72" s="1164"/>
      <c r="BB72" s="1164"/>
      <c r="BC72" s="1164"/>
      <c r="BD72" s="1640"/>
      <c r="BE72" s="1164"/>
      <c r="BF72" s="1164"/>
      <c r="BG72" s="548"/>
      <c r="BH72" s="1164"/>
      <c r="BI72" s="1164"/>
      <c r="BJ72" s="1164"/>
      <c r="BK72" s="1164"/>
      <c r="BL72" s="1164"/>
      <c r="BM72" s="1636"/>
      <c r="BN72" s="570"/>
      <c r="BO72" s="570"/>
      <c r="BP72" s="570"/>
      <c r="BQ72" s="570"/>
      <c r="BR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W73" s="1164"/>
      <c r="AX73" s="1640"/>
      <c r="AY73" s="1640"/>
      <c r="AZ73" s="1164"/>
      <c r="BA73" s="1164"/>
      <c r="BB73" s="1164"/>
      <c r="BC73" s="1164"/>
      <c r="BD73" s="1640"/>
      <c r="BE73" s="1164"/>
      <c r="BF73" s="1164"/>
      <c r="BG73" s="548"/>
      <c r="BH73" s="1164"/>
      <c r="BI73" s="1164"/>
      <c r="BJ73" s="1164"/>
      <c r="BK73" s="1164"/>
      <c r="BL73" s="1164"/>
      <c r="BM73" s="1636"/>
      <c r="BN73" s="570"/>
      <c r="BO73" s="570"/>
      <c r="BP73" s="570"/>
      <c r="BQ73" s="570"/>
      <c r="BR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W74" s="1164"/>
      <c r="AX74" s="1640"/>
      <c r="AY74" s="1640"/>
      <c r="AZ74" s="1164"/>
      <c r="BA74" s="1164"/>
      <c r="BB74" s="1164"/>
      <c r="BC74" s="1164"/>
      <c r="BD74" s="1640"/>
      <c r="BE74" s="1164"/>
      <c r="BF74" s="1164"/>
      <c r="BG74" s="548"/>
      <c r="BH74" s="1164"/>
      <c r="BI74" s="1164"/>
      <c r="BJ74" s="1164"/>
      <c r="BK74" s="1164"/>
      <c r="BL74" s="1164"/>
      <c r="BM74" s="1636"/>
      <c r="BN74" s="570"/>
      <c r="BO74" s="570"/>
      <c r="BP74" s="570"/>
      <c r="BQ74" s="570"/>
      <c r="BR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W75" s="1164"/>
      <c r="AX75" s="1640"/>
      <c r="AY75" s="1640"/>
      <c r="AZ75" s="1164"/>
      <c r="BA75" s="1164"/>
      <c r="BB75" s="1164"/>
      <c r="BC75" s="1164"/>
      <c r="BD75" s="1640"/>
      <c r="BE75" s="1164"/>
      <c r="BF75" s="1164"/>
      <c r="BG75" s="548"/>
      <c r="BH75" s="1164"/>
      <c r="BI75" s="1164"/>
      <c r="BJ75" s="1164"/>
      <c r="BK75" s="1164"/>
      <c r="BL75" s="1164"/>
      <c r="BM75" s="1636"/>
      <c r="BN75" s="570"/>
      <c r="BO75" s="570"/>
      <c r="BP75" s="570"/>
      <c r="BQ75" s="570"/>
      <c r="BR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W76" s="1164"/>
      <c r="AX76" s="1640"/>
      <c r="AY76" s="1640"/>
      <c r="AZ76" s="1164"/>
      <c r="BA76" s="1164"/>
      <c r="BB76" s="1164"/>
      <c r="BC76" s="1164"/>
      <c r="BD76" s="1640"/>
      <c r="BE76" s="1164"/>
      <c r="BF76" s="1164"/>
      <c r="BG76" s="548"/>
      <c r="BH76" s="1164"/>
      <c r="BI76" s="1164"/>
      <c r="BJ76" s="1164"/>
      <c r="BK76" s="1164"/>
      <c r="BL76" s="1164"/>
      <c r="BM76" s="1636"/>
      <c r="BN76" s="570"/>
      <c r="BO76" s="570"/>
      <c r="BP76" s="570"/>
      <c r="BQ76" s="570"/>
      <c r="BR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W77" s="1164"/>
      <c r="AX77" s="1640"/>
      <c r="AY77" s="1640"/>
      <c r="AZ77" s="1164"/>
      <c r="BA77" s="1164"/>
      <c r="BB77" s="1164"/>
      <c r="BC77" s="1164"/>
      <c r="BD77" s="1640"/>
      <c r="BE77" s="1164"/>
      <c r="BF77" s="1164"/>
      <c r="BG77" s="548"/>
      <c r="BH77" s="1164"/>
      <c r="BI77" s="1164"/>
      <c r="BJ77" s="1164"/>
      <c r="BK77" s="1164"/>
      <c r="BL77" s="1164"/>
      <c r="BM77" s="1636"/>
      <c r="BN77" s="570"/>
      <c r="BO77" s="570"/>
      <c r="BP77" s="570"/>
      <c r="BQ77" s="570"/>
      <c r="BR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W78" s="1164"/>
      <c r="AX78" s="1640"/>
      <c r="AY78" s="1640"/>
      <c r="AZ78" s="1164"/>
      <c r="BA78" s="1164"/>
      <c r="BB78" s="1164"/>
      <c r="BC78" s="1164"/>
      <c r="BD78" s="1640"/>
      <c r="BE78" s="1164"/>
      <c r="BF78" s="1164"/>
      <c r="BG78" s="548"/>
      <c r="BH78" s="1164"/>
      <c r="BI78" s="1164"/>
      <c r="BJ78" s="1164"/>
      <c r="BK78" s="1164"/>
      <c r="BL78" s="1164"/>
      <c r="BM78" s="1636"/>
      <c r="BN78" s="570"/>
      <c r="BO78" s="570"/>
      <c r="BP78" s="570"/>
      <c r="BQ78" s="570"/>
      <c r="BR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W79" s="1164"/>
      <c r="AX79" s="1640"/>
      <c r="AY79" s="1640"/>
      <c r="AZ79" s="1164"/>
      <c r="BA79" s="1164"/>
      <c r="BB79" s="1164"/>
      <c r="BC79" s="1164"/>
      <c r="BD79" s="1640"/>
      <c r="BE79" s="1164"/>
      <c r="BF79" s="1164"/>
      <c r="BG79" s="548"/>
      <c r="BH79" s="1164"/>
      <c r="BI79" s="1164"/>
      <c r="BJ79" s="1164"/>
      <c r="BK79" s="1164"/>
      <c r="BL79" s="1164"/>
      <c r="BM79" s="1636"/>
      <c r="BN79" s="570"/>
      <c r="BO79" s="570"/>
      <c r="BP79" s="570"/>
      <c r="BQ79" s="570"/>
      <c r="BR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W80" s="1164"/>
      <c r="AX80" s="1640"/>
      <c r="AY80" s="1640"/>
      <c r="AZ80" s="1164"/>
      <c r="BA80" s="1164"/>
      <c r="BB80" s="1164"/>
      <c r="BC80" s="1164"/>
      <c r="BD80" s="1640"/>
      <c r="BE80" s="1164"/>
      <c r="BF80" s="1164"/>
      <c r="BG80" s="548"/>
      <c r="BH80" s="1164"/>
      <c r="BI80" s="1164"/>
      <c r="BJ80" s="1164"/>
      <c r="BK80" s="1164"/>
      <c r="BL80" s="1164"/>
      <c r="BM80" s="1636"/>
      <c r="BN80" s="570"/>
      <c r="BO80" s="570"/>
      <c r="BP80" s="570"/>
      <c r="BQ80" s="570"/>
      <c r="BR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W81" s="1164"/>
      <c r="AX81" s="1640"/>
      <c r="AY81" s="1640"/>
      <c r="AZ81" s="1164"/>
      <c r="BA81" s="1164"/>
      <c r="BB81" s="1164"/>
      <c r="BC81" s="1164"/>
      <c r="BD81" s="1640"/>
      <c r="BE81" s="1164"/>
      <c r="BF81" s="1164"/>
      <c r="BG81" s="548"/>
      <c r="BH81" s="1164"/>
      <c r="BI81" s="1164"/>
      <c r="BJ81" s="1164"/>
      <c r="BK81" s="1164"/>
      <c r="BL81" s="1164"/>
      <c r="BM81" s="1636"/>
      <c r="BN81" s="570"/>
      <c r="BO81" s="570"/>
      <c r="BP81" s="570"/>
      <c r="BQ81" s="570"/>
      <c r="BR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W82" s="1164"/>
      <c r="AX82" s="1640"/>
      <c r="AY82" s="1640"/>
      <c r="AZ82" s="1164"/>
      <c r="BA82" s="1164"/>
      <c r="BB82" s="1164"/>
      <c r="BC82" s="1164"/>
      <c r="BD82" s="1640"/>
      <c r="BE82" s="1164"/>
      <c r="BF82" s="1164"/>
      <c r="BG82" s="548"/>
      <c r="BH82" s="1164"/>
      <c r="BI82" s="1164"/>
      <c r="BJ82" s="1164"/>
      <c r="BK82" s="1164"/>
      <c r="BL82" s="1164"/>
      <c r="BM82" s="1636"/>
      <c r="BN82" s="570"/>
      <c r="BO82" s="570"/>
      <c r="BP82" s="570"/>
      <c r="BQ82" s="570"/>
      <c r="BR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W83" s="1164"/>
      <c r="AX83" s="1640"/>
      <c r="AY83" s="1640"/>
      <c r="AZ83" s="1164"/>
      <c r="BA83" s="1164"/>
      <c r="BB83" s="1164"/>
      <c r="BC83" s="1164"/>
      <c r="BD83" s="1640"/>
      <c r="BE83" s="1164"/>
      <c r="BF83" s="1164"/>
      <c r="BG83" s="548"/>
      <c r="BH83" s="1164"/>
      <c r="BI83" s="1164"/>
      <c r="BJ83" s="1164"/>
      <c r="BK83" s="1164"/>
      <c r="BL83" s="1164"/>
      <c r="BM83" s="1636"/>
      <c r="BN83" s="570"/>
      <c r="BO83" s="570"/>
      <c r="BP83" s="570"/>
      <c r="BQ83" s="570"/>
      <c r="BR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W84" s="1164"/>
      <c r="AX84" s="1640"/>
      <c r="AY84" s="1640"/>
      <c r="AZ84" s="1164"/>
      <c r="BA84" s="1164"/>
      <c r="BB84" s="1164"/>
      <c r="BC84" s="1164"/>
      <c r="BD84" s="1640"/>
      <c r="BE84" s="1164"/>
      <c r="BF84" s="1164"/>
      <c r="BG84" s="548"/>
      <c r="BH84" s="1164"/>
      <c r="BI84" s="1164"/>
      <c r="BJ84" s="1164"/>
      <c r="BK84" s="1164"/>
      <c r="BL84" s="1164"/>
      <c r="BM84" s="1636"/>
      <c r="BN84" s="570"/>
      <c r="BO84" s="570"/>
      <c r="BP84" s="570"/>
      <c r="BQ84" s="570"/>
      <c r="BR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W85" s="1164"/>
      <c r="AX85" s="1640"/>
      <c r="AY85" s="1640"/>
      <c r="AZ85" s="1164"/>
      <c r="BA85" s="1164"/>
      <c r="BB85" s="1164"/>
      <c r="BC85" s="1164"/>
      <c r="BD85" s="1640"/>
      <c r="BE85" s="1164"/>
      <c r="BF85" s="1164"/>
      <c r="BG85" s="548"/>
      <c r="BH85" s="1164"/>
      <c r="BI85" s="1164"/>
      <c r="BJ85" s="1164"/>
      <c r="BK85" s="1164"/>
      <c r="BL85" s="1164"/>
      <c r="BM85" s="1636"/>
      <c r="BN85" s="570"/>
      <c r="BO85" s="570"/>
      <c r="BP85" s="570"/>
      <c r="BQ85" s="570"/>
      <c r="BR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W86" s="1164"/>
      <c r="AX86" s="1640"/>
      <c r="AY86" s="1640"/>
      <c r="AZ86" s="1164"/>
      <c r="BA86" s="1164"/>
      <c r="BB86" s="1164"/>
      <c r="BC86" s="1164"/>
      <c r="BD86" s="1640"/>
      <c r="BE86" s="1164"/>
      <c r="BF86" s="1164"/>
      <c r="BG86" s="548"/>
      <c r="BH86" s="1164"/>
      <c r="BI86" s="1164"/>
      <c r="BJ86" s="1164"/>
      <c r="BK86" s="1164"/>
      <c r="BL86" s="1164"/>
      <c r="BM86" s="1636"/>
      <c r="BN86" s="570"/>
      <c r="BO86" s="570"/>
      <c r="BP86" s="570"/>
      <c r="BQ86" s="570"/>
      <c r="BR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W87" s="1164"/>
      <c r="AX87" s="1640"/>
      <c r="AY87" s="1640"/>
      <c r="AZ87" s="1164"/>
      <c r="BA87" s="1164"/>
      <c r="BB87" s="1164"/>
      <c r="BC87" s="1164"/>
      <c r="BD87" s="1640"/>
      <c r="BE87" s="1164"/>
      <c r="BF87" s="1164"/>
      <c r="BG87" s="548"/>
      <c r="BH87" s="1164"/>
      <c r="BI87" s="1164"/>
      <c r="BJ87" s="1164"/>
      <c r="BK87" s="1164"/>
      <c r="BL87" s="1164"/>
      <c r="BM87" s="1636"/>
      <c r="BN87" s="570"/>
      <c r="BO87" s="570"/>
      <c r="BP87" s="570"/>
      <c r="BQ87" s="570"/>
      <c r="BR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W88" s="1164"/>
      <c r="AX88" s="1640"/>
      <c r="AY88" s="1640"/>
      <c r="AZ88" s="1164"/>
      <c r="BA88" s="1164"/>
      <c r="BB88" s="1164"/>
      <c r="BC88" s="1164"/>
      <c r="BD88" s="1640"/>
      <c r="BE88" s="1164"/>
      <c r="BF88" s="1164"/>
      <c r="BG88" s="548"/>
      <c r="BH88" s="1164"/>
      <c r="BI88" s="1164"/>
      <c r="BJ88" s="1164"/>
      <c r="BK88" s="1164"/>
      <c r="BL88" s="1164"/>
      <c r="BM88" s="1636"/>
      <c r="BN88" s="570"/>
      <c r="BO88" s="570"/>
      <c r="BP88" s="570"/>
      <c r="BQ88" s="570"/>
      <c r="BR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W89" s="1164"/>
      <c r="AX89" s="1640"/>
      <c r="AY89" s="1640"/>
      <c r="AZ89" s="1164"/>
      <c r="BA89" s="1164"/>
      <c r="BB89" s="1164"/>
      <c r="BC89" s="1164"/>
      <c r="BD89" s="1640"/>
      <c r="BE89" s="1164"/>
      <c r="BF89" s="1164"/>
      <c r="BG89" s="548"/>
      <c r="BH89" s="1164"/>
      <c r="BI89" s="1164"/>
      <c r="BJ89" s="1164"/>
      <c r="BK89" s="1164"/>
      <c r="BL89" s="1164"/>
      <c r="BM89" s="1636"/>
      <c r="BN89" s="570"/>
      <c r="BO89" s="570"/>
      <c r="BP89" s="570"/>
      <c r="BQ89" s="570"/>
      <c r="BR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W90" s="1164"/>
      <c r="AX90" s="1640"/>
      <c r="AY90" s="1640"/>
      <c r="AZ90" s="1164"/>
      <c r="BA90" s="1164"/>
      <c r="BB90" s="1164"/>
      <c r="BC90" s="1164"/>
      <c r="BD90" s="1640"/>
      <c r="BE90" s="1164"/>
      <c r="BF90" s="1164"/>
      <c r="BG90" s="548"/>
      <c r="BH90" s="1164"/>
      <c r="BI90" s="1164"/>
      <c r="BJ90" s="1164"/>
      <c r="BK90" s="1164"/>
      <c r="BL90" s="1164"/>
      <c r="BM90" s="1636"/>
      <c r="BN90" s="570"/>
      <c r="BO90" s="570"/>
      <c r="BP90" s="570"/>
      <c r="BQ90" s="570"/>
      <c r="BR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W91" s="1164"/>
      <c r="AX91" s="1640"/>
      <c r="AY91" s="1640"/>
      <c r="AZ91" s="1164"/>
      <c r="BA91" s="1164"/>
      <c r="BB91" s="1164"/>
      <c r="BC91" s="1164"/>
      <c r="BD91" s="1640"/>
      <c r="BE91" s="1164"/>
      <c r="BF91" s="1164"/>
      <c r="BG91" s="548"/>
      <c r="BH91" s="1164"/>
      <c r="BI91" s="1164"/>
      <c r="BJ91" s="1164"/>
      <c r="BK91" s="1164"/>
      <c r="BL91" s="1164"/>
      <c r="BM91" s="1636"/>
      <c r="BN91" s="570"/>
      <c r="BO91" s="570"/>
      <c r="BP91" s="570"/>
      <c r="BQ91" s="570"/>
      <c r="BR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W92" s="1164"/>
      <c r="AX92" s="1640"/>
      <c r="AY92" s="1640"/>
      <c r="AZ92" s="1164"/>
      <c r="BA92" s="1164"/>
      <c r="BB92" s="1164"/>
      <c r="BC92" s="1164"/>
      <c r="BD92" s="1640"/>
      <c r="BE92" s="1164"/>
      <c r="BF92" s="1164"/>
      <c r="BG92" s="548"/>
      <c r="BH92" s="1164"/>
      <c r="BI92" s="1164"/>
      <c r="BJ92" s="1164"/>
      <c r="BK92" s="1164"/>
      <c r="BL92" s="1164"/>
      <c r="BM92" s="1636"/>
      <c r="BN92" s="570"/>
      <c r="BO92" s="570"/>
      <c r="BP92" s="570"/>
      <c r="BQ92" s="570"/>
      <c r="BR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W93" s="1164"/>
      <c r="AX93" s="1640"/>
      <c r="AY93" s="1640"/>
      <c r="AZ93" s="1164"/>
      <c r="BA93" s="1164"/>
      <c r="BB93" s="1164"/>
      <c r="BC93" s="1164"/>
      <c r="BD93" s="1640"/>
      <c r="BE93" s="1164"/>
      <c r="BF93" s="1164"/>
      <c r="BG93" s="548"/>
      <c r="BH93" s="1164"/>
      <c r="BI93" s="1164"/>
      <c r="BJ93" s="1164"/>
      <c r="BK93" s="1164"/>
      <c r="BL93" s="1164"/>
      <c r="BM93" s="1636"/>
      <c r="BN93" s="570"/>
      <c r="BO93" s="570"/>
      <c r="BP93" s="570"/>
      <c r="BQ93" s="570"/>
      <c r="BR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W94" s="1164"/>
      <c r="AX94" s="1640"/>
      <c r="AY94" s="1640"/>
      <c r="AZ94" s="1164"/>
      <c r="BA94" s="1164"/>
      <c r="BB94" s="1164"/>
      <c r="BC94" s="1164"/>
      <c r="BD94" s="1640"/>
      <c r="BE94" s="1164"/>
      <c r="BF94" s="1164"/>
      <c r="BG94" s="548"/>
      <c r="BH94" s="1164"/>
      <c r="BI94" s="1164"/>
      <c r="BJ94" s="1164"/>
      <c r="BK94" s="1164"/>
      <c r="BL94" s="1164"/>
      <c r="BM94" s="1636"/>
      <c r="BN94" s="570"/>
      <c r="BO94" s="570"/>
      <c r="BP94" s="570"/>
      <c r="BQ94" s="570"/>
      <c r="BR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W95" s="1164"/>
      <c r="AX95" s="1640"/>
      <c r="AY95" s="1640"/>
      <c r="AZ95" s="1164"/>
      <c r="BA95" s="1164"/>
      <c r="BB95" s="1164"/>
      <c r="BC95" s="1164"/>
      <c r="BD95" s="1640"/>
      <c r="BE95" s="1164"/>
      <c r="BF95" s="1164"/>
      <c r="BG95" s="548"/>
      <c r="BH95" s="1164"/>
      <c r="BI95" s="1164"/>
      <c r="BJ95" s="1164"/>
      <c r="BK95" s="1164"/>
      <c r="BL95" s="1164"/>
      <c r="BM95" s="1636"/>
      <c r="BN95" s="570"/>
      <c r="BO95" s="570"/>
      <c r="BP95" s="570"/>
      <c r="BQ95" s="570"/>
      <c r="BR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W96" s="1164"/>
      <c r="AX96" s="1640"/>
      <c r="AY96" s="1640"/>
      <c r="AZ96" s="1164"/>
      <c r="BA96" s="1164"/>
      <c r="BB96" s="1164"/>
      <c r="BC96" s="1164"/>
      <c r="BD96" s="1640"/>
      <c r="BE96" s="1164"/>
      <c r="BF96" s="1164"/>
      <c r="BG96" s="548"/>
      <c r="BH96" s="1164"/>
      <c r="BI96" s="1164"/>
      <c r="BJ96" s="1164"/>
      <c r="BK96" s="1164"/>
      <c r="BL96" s="1164"/>
      <c r="BM96" s="1636"/>
      <c r="BN96" s="570"/>
      <c r="BO96" s="570"/>
      <c r="BP96" s="570"/>
      <c r="BQ96" s="570"/>
      <c r="BR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W97" s="1164"/>
      <c r="AX97" s="1640"/>
      <c r="AY97" s="1640"/>
      <c r="AZ97" s="1164"/>
      <c r="BA97" s="1164"/>
      <c r="BB97" s="1164"/>
      <c r="BC97" s="1164"/>
      <c r="BD97" s="1640"/>
      <c r="BE97" s="1164"/>
      <c r="BF97" s="1164"/>
      <c r="BG97" s="548"/>
      <c r="BH97" s="1164"/>
      <c r="BI97" s="1164"/>
      <c r="BJ97" s="1164"/>
      <c r="BK97" s="1164"/>
      <c r="BL97" s="1164"/>
      <c r="BM97" s="1636"/>
      <c r="BN97" s="570"/>
      <c r="BO97" s="570"/>
      <c r="BP97" s="570"/>
      <c r="BQ97" s="570"/>
      <c r="BR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W98" s="1164"/>
      <c r="AX98" s="1640"/>
      <c r="AY98" s="1640"/>
      <c r="AZ98" s="1164"/>
      <c r="BA98" s="1164"/>
      <c r="BB98" s="1164"/>
      <c r="BC98" s="1164"/>
      <c r="BD98" s="1640"/>
      <c r="BE98" s="1164"/>
      <c r="BF98" s="1164"/>
      <c r="BG98" s="548"/>
      <c r="BH98" s="1164"/>
      <c r="BI98" s="1164"/>
      <c r="BJ98" s="1164"/>
      <c r="BK98" s="1164"/>
      <c r="BL98" s="1164"/>
      <c r="BM98" s="1636"/>
      <c r="BN98" s="570"/>
      <c r="BO98" s="570"/>
      <c r="BP98" s="570"/>
      <c r="BQ98" s="570"/>
      <c r="BR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W99" s="1164"/>
      <c r="AX99" s="1640"/>
      <c r="AY99" s="1640"/>
      <c r="AZ99" s="1164"/>
      <c r="BA99" s="1164"/>
      <c r="BB99" s="1164"/>
      <c r="BC99" s="1164"/>
      <c r="BD99" s="1640"/>
      <c r="BE99" s="1164"/>
      <c r="BF99" s="1164"/>
      <c r="BG99" s="548"/>
      <c r="BH99" s="1164"/>
      <c r="BI99" s="1164"/>
      <c r="BJ99" s="1164"/>
      <c r="BK99" s="1164"/>
      <c r="BL99" s="1164"/>
      <c r="BM99" s="1636"/>
      <c r="BN99" s="570"/>
      <c r="BO99" s="570"/>
      <c r="BP99" s="570"/>
      <c r="BQ99" s="570"/>
      <c r="BR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W100" s="1164"/>
      <c r="AX100" s="1640"/>
      <c r="AY100" s="1640"/>
      <c r="AZ100" s="1164"/>
      <c r="BA100" s="1164"/>
      <c r="BB100" s="1164"/>
      <c r="BC100" s="1164"/>
      <c r="BD100" s="1640"/>
      <c r="BE100" s="1164"/>
      <c r="BF100" s="1164"/>
      <c r="BG100" s="548"/>
      <c r="BH100" s="1164"/>
      <c r="BI100" s="1164"/>
      <c r="BJ100" s="1164"/>
      <c r="BK100" s="1164"/>
      <c r="BL100" s="1164"/>
      <c r="BM100" s="1636"/>
      <c r="BN100" s="570"/>
      <c r="BO100" s="570"/>
      <c r="BP100" s="570"/>
      <c r="BQ100" s="570"/>
      <c r="BR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W101" s="1164"/>
      <c r="AX101" s="1640"/>
      <c r="AY101" s="1640"/>
      <c r="AZ101" s="1164"/>
      <c r="BA101" s="1164"/>
      <c r="BB101" s="1164"/>
      <c r="BC101" s="1164"/>
      <c r="BD101" s="1640"/>
      <c r="BE101" s="1164"/>
      <c r="BF101" s="1164"/>
      <c r="BG101" s="548"/>
      <c r="BH101" s="1164"/>
      <c r="BI101" s="1164"/>
      <c r="BJ101" s="1164"/>
      <c r="BK101" s="1164"/>
      <c r="BL101" s="1164"/>
      <c r="BM101" s="1636"/>
      <c r="BN101" s="570"/>
      <c r="BO101" s="570"/>
      <c r="BP101" s="570"/>
      <c r="BQ101" s="570"/>
      <c r="BR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W102" s="1164"/>
      <c r="AX102" s="1640"/>
      <c r="AY102" s="1640"/>
      <c r="AZ102" s="1164"/>
      <c r="BA102" s="1164"/>
      <c r="BB102" s="1164"/>
      <c r="BC102" s="1164"/>
      <c r="BD102" s="1640"/>
      <c r="BE102" s="1164"/>
      <c r="BF102" s="1164"/>
      <c r="BG102" s="548"/>
      <c r="BH102" s="1164"/>
      <c r="BI102" s="1164"/>
      <c r="BJ102" s="1164"/>
      <c r="BK102" s="1164"/>
      <c r="BL102" s="1164"/>
      <c r="BM102" s="1636"/>
      <c r="BN102" s="570"/>
      <c r="BO102" s="570"/>
      <c r="BP102" s="570"/>
      <c r="BQ102" s="570"/>
      <c r="BR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W103" s="1164"/>
      <c r="AX103" s="1640"/>
      <c r="AY103" s="1640"/>
      <c r="AZ103" s="1164"/>
      <c r="BA103" s="1164"/>
      <c r="BB103" s="1164"/>
      <c r="BC103" s="1164"/>
      <c r="BD103" s="1640"/>
      <c r="BE103" s="1164"/>
      <c r="BF103" s="1164"/>
      <c r="BG103" s="548"/>
      <c r="BH103" s="1164"/>
      <c r="BI103" s="1164"/>
      <c r="BJ103" s="1164"/>
      <c r="BK103" s="1164"/>
      <c r="BL103" s="1164"/>
      <c r="BM103" s="1636"/>
      <c r="BN103" s="570"/>
      <c r="BO103" s="570"/>
      <c r="BP103" s="570"/>
      <c r="BQ103" s="570"/>
      <c r="BR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W104" s="1164"/>
      <c r="AX104" s="1640"/>
      <c r="AY104" s="1640"/>
      <c r="AZ104" s="1164"/>
      <c r="BA104" s="1164"/>
      <c r="BB104" s="1164"/>
      <c r="BC104" s="1164"/>
      <c r="BD104" s="1640"/>
      <c r="BE104" s="1164"/>
      <c r="BF104" s="1164"/>
      <c r="BG104" s="548"/>
      <c r="BH104" s="1164"/>
      <c r="BI104" s="1164"/>
      <c r="BJ104" s="1164"/>
      <c r="BK104" s="1164"/>
      <c r="BL104" s="1164"/>
      <c r="BM104" s="1636"/>
      <c r="BN104" s="570"/>
      <c r="BO104" s="570"/>
      <c r="BP104" s="570"/>
      <c r="BQ104" s="570"/>
      <c r="BR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W105" s="1164"/>
      <c r="AX105" s="1640"/>
      <c r="AY105" s="1640"/>
      <c r="AZ105" s="1164"/>
      <c r="BA105" s="1164"/>
      <c r="BB105" s="1164"/>
      <c r="BC105" s="1164"/>
      <c r="BD105" s="1640"/>
      <c r="BE105" s="1164"/>
      <c r="BF105" s="1164"/>
      <c r="BG105" s="548"/>
      <c r="BH105" s="1164"/>
      <c r="BI105" s="1164"/>
      <c r="BJ105" s="1164"/>
      <c r="BK105" s="1164"/>
      <c r="BL105" s="1164"/>
      <c r="BM105" s="1636"/>
      <c r="BN105" s="570"/>
      <c r="BO105" s="570"/>
      <c r="BP105" s="570"/>
      <c r="BQ105" s="570"/>
      <c r="BR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W106" s="1164"/>
      <c r="AX106" s="1640"/>
      <c r="AY106" s="1640"/>
      <c r="AZ106" s="1164"/>
      <c r="BA106" s="1164"/>
      <c r="BB106" s="1164"/>
      <c r="BC106" s="1164"/>
      <c r="BD106" s="1640"/>
      <c r="BE106" s="1164"/>
      <c r="BF106" s="1164"/>
      <c r="BG106" s="548"/>
      <c r="BH106" s="1164"/>
      <c r="BI106" s="1164"/>
      <c r="BJ106" s="1164"/>
      <c r="BK106" s="1164"/>
      <c r="BL106" s="1164"/>
      <c r="BM106" s="1636"/>
      <c r="BN106" s="570"/>
      <c r="BO106" s="570"/>
      <c r="BP106" s="570"/>
      <c r="BQ106" s="570"/>
      <c r="BR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W107" s="1164"/>
      <c r="AX107" s="1640"/>
      <c r="AY107" s="1640"/>
      <c r="AZ107" s="1164"/>
      <c r="BA107" s="1164"/>
      <c r="BB107" s="1164"/>
      <c r="BC107" s="1164"/>
      <c r="BD107" s="1640"/>
      <c r="BE107" s="1164"/>
      <c r="BF107" s="1164"/>
      <c r="BG107" s="548"/>
      <c r="BH107" s="1164"/>
      <c r="BI107" s="1164"/>
      <c r="BJ107" s="1164"/>
      <c r="BK107" s="1164"/>
      <c r="BL107" s="1164"/>
      <c r="BM107" s="1636"/>
      <c r="BN107" s="570"/>
      <c r="BO107" s="570"/>
      <c r="BP107" s="570"/>
      <c r="BQ107" s="570"/>
      <c r="BR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W108" s="1164"/>
      <c r="AX108" s="1640"/>
      <c r="AY108" s="1640"/>
      <c r="AZ108" s="1164"/>
      <c r="BA108" s="1164"/>
      <c r="BB108" s="1164"/>
      <c r="BC108" s="1164"/>
      <c r="BD108" s="1640"/>
      <c r="BE108" s="1164"/>
      <c r="BF108" s="1164"/>
      <c r="BG108" s="548"/>
      <c r="BH108" s="1164"/>
      <c r="BI108" s="1164"/>
      <c r="BJ108" s="1164"/>
      <c r="BK108" s="1164"/>
      <c r="BL108" s="1164"/>
      <c r="BM108" s="1636"/>
      <c r="BN108" s="570"/>
      <c r="BO108" s="570"/>
      <c r="BP108" s="570"/>
      <c r="BQ108" s="570"/>
      <c r="BR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W109" s="1164"/>
      <c r="AX109" s="1640"/>
      <c r="AY109" s="1640"/>
      <c r="AZ109" s="1164"/>
      <c r="BA109" s="1164"/>
      <c r="BB109" s="1164"/>
      <c r="BC109" s="1164"/>
      <c r="BD109" s="1640"/>
      <c r="BE109" s="1164"/>
      <c r="BF109" s="1164"/>
      <c r="BG109" s="548"/>
      <c r="BH109" s="1164"/>
      <c r="BI109" s="1164"/>
      <c r="BJ109" s="1164"/>
      <c r="BK109" s="1164"/>
      <c r="BL109" s="1164"/>
      <c r="BM109" s="1636"/>
      <c r="BN109" s="570"/>
      <c r="BO109" s="570"/>
      <c r="BP109" s="570"/>
      <c r="BQ109" s="570"/>
      <c r="BR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W110" s="1164"/>
      <c r="AX110" s="1640"/>
      <c r="AY110" s="1640"/>
      <c r="AZ110" s="1164"/>
      <c r="BA110" s="1164"/>
      <c r="BB110" s="1164"/>
      <c r="BC110" s="1164"/>
      <c r="BD110" s="1640"/>
      <c r="BE110" s="1164"/>
      <c r="BF110" s="1164"/>
      <c r="BG110" s="548"/>
      <c r="BH110" s="1164"/>
      <c r="BI110" s="1164"/>
      <c r="BJ110" s="1164"/>
      <c r="BK110" s="1164"/>
      <c r="BL110" s="1164"/>
      <c r="BM110" s="1636"/>
      <c r="BN110" s="570"/>
      <c r="BO110" s="570"/>
      <c r="BP110" s="570"/>
      <c r="BQ110" s="570"/>
      <c r="BR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W111" s="1164"/>
      <c r="AX111" s="1640"/>
      <c r="AY111" s="1640"/>
      <c r="AZ111" s="1164"/>
      <c r="BA111" s="1164"/>
      <c r="BB111" s="1164"/>
      <c r="BC111" s="1164"/>
      <c r="BD111" s="1640"/>
      <c r="BE111" s="1164"/>
      <c r="BF111" s="1164"/>
      <c r="BG111" s="548"/>
      <c r="BH111" s="1164"/>
      <c r="BI111" s="1164"/>
      <c r="BJ111" s="1164"/>
      <c r="BK111" s="1164"/>
      <c r="BL111" s="1164"/>
      <c r="BM111" s="1636"/>
      <c r="BN111" s="570"/>
      <c r="BO111" s="570"/>
      <c r="BP111" s="570"/>
      <c r="BQ111" s="570"/>
      <c r="BR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W112" s="1164"/>
      <c r="AX112" s="1640"/>
      <c r="AY112" s="1640"/>
      <c r="AZ112" s="1164"/>
      <c r="BA112" s="1164"/>
      <c r="BB112" s="1164"/>
      <c r="BC112" s="1164"/>
      <c r="BD112" s="1640"/>
      <c r="BE112" s="1164"/>
      <c r="BF112" s="1164"/>
      <c r="BG112" s="548"/>
      <c r="BH112" s="1164"/>
      <c r="BI112" s="1164"/>
      <c r="BJ112" s="1164"/>
      <c r="BK112" s="1164"/>
      <c r="BL112" s="1164"/>
      <c r="BM112" s="1636"/>
      <c r="BN112" s="570"/>
      <c r="BO112" s="570"/>
      <c r="BP112" s="570"/>
      <c r="BQ112" s="570"/>
      <c r="BR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W113" s="1164"/>
      <c r="AX113" s="1640"/>
      <c r="AY113" s="1640"/>
      <c r="AZ113" s="1164"/>
      <c r="BA113" s="1164"/>
      <c r="BB113" s="1164"/>
      <c r="BC113" s="1164"/>
      <c r="BD113" s="1640"/>
      <c r="BE113" s="1164"/>
      <c r="BF113" s="1164"/>
      <c r="BG113" s="548"/>
      <c r="BH113" s="1164"/>
      <c r="BI113" s="1164"/>
      <c r="BJ113" s="1164"/>
      <c r="BK113" s="1164"/>
      <c r="BL113" s="1164"/>
      <c r="BM113" s="1636"/>
      <c r="BN113" s="570"/>
      <c r="BO113" s="570"/>
      <c r="BP113" s="570"/>
      <c r="BQ113" s="570"/>
      <c r="BR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W114" s="1164"/>
      <c r="AX114" s="1640"/>
      <c r="AY114" s="1640"/>
      <c r="AZ114" s="1164"/>
      <c r="BA114" s="1164"/>
      <c r="BB114" s="1164"/>
      <c r="BC114" s="1164"/>
      <c r="BD114" s="1640"/>
      <c r="BE114" s="1164"/>
      <c r="BF114" s="1164"/>
      <c r="BG114" s="548"/>
      <c r="BH114" s="1164"/>
      <c r="BI114" s="1164"/>
      <c r="BJ114" s="1164"/>
      <c r="BK114" s="1164"/>
      <c r="BL114" s="1164"/>
      <c r="BM114" s="1636"/>
      <c r="BN114" s="570"/>
      <c r="BO114" s="570"/>
      <c r="BP114" s="570"/>
      <c r="BQ114" s="570"/>
      <c r="BR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W115" s="1164"/>
      <c r="AX115" s="1640"/>
      <c r="AY115" s="1640"/>
      <c r="AZ115" s="1164"/>
      <c r="BA115" s="1164"/>
      <c r="BB115" s="1164"/>
      <c r="BC115" s="1164"/>
      <c r="BD115" s="1640"/>
      <c r="BE115" s="1164"/>
      <c r="BF115" s="1164"/>
      <c r="BG115" s="548"/>
      <c r="BH115" s="1164"/>
      <c r="BI115" s="1164"/>
      <c r="BJ115" s="1164"/>
      <c r="BK115" s="1164"/>
      <c r="BL115" s="1164"/>
      <c r="BM115" s="1636"/>
      <c r="BN115" s="570"/>
      <c r="BO115" s="570"/>
      <c r="BP115" s="570"/>
      <c r="BQ115" s="570"/>
      <c r="BR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W116" s="1164"/>
      <c r="AX116" s="1640"/>
      <c r="AY116" s="1640"/>
      <c r="AZ116" s="1164"/>
      <c r="BA116" s="1164"/>
      <c r="BB116" s="1164"/>
      <c r="BC116" s="1164"/>
      <c r="BD116" s="1640"/>
      <c r="BE116" s="1164"/>
      <c r="BF116" s="1164"/>
      <c r="BG116" s="548"/>
      <c r="BH116" s="1164"/>
      <c r="BI116" s="1164"/>
      <c r="BJ116" s="1164"/>
      <c r="BK116" s="1164"/>
      <c r="BL116" s="1164"/>
      <c r="BM116" s="1636"/>
      <c r="BN116" s="570"/>
      <c r="BO116" s="570"/>
      <c r="BP116" s="570"/>
      <c r="BQ116" s="570"/>
      <c r="BR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W117" s="1164"/>
      <c r="AX117" s="1640"/>
      <c r="AY117" s="1640"/>
      <c r="AZ117" s="1164"/>
      <c r="BA117" s="1164"/>
      <c r="BB117" s="1164"/>
      <c r="BC117" s="1164"/>
      <c r="BD117" s="1640"/>
      <c r="BE117" s="1164"/>
      <c r="BF117" s="1164"/>
      <c r="BG117" s="548"/>
      <c r="BH117" s="1164"/>
      <c r="BI117" s="1164"/>
      <c r="BJ117" s="1164"/>
      <c r="BK117" s="1164"/>
      <c r="BL117" s="1164"/>
      <c r="BM117" s="1636"/>
      <c r="BN117" s="570"/>
      <c r="BO117" s="570"/>
      <c r="BP117" s="570"/>
      <c r="BQ117" s="570"/>
      <c r="BR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W118" s="1164"/>
      <c r="AX118" s="1640"/>
      <c r="AY118" s="1640"/>
      <c r="AZ118" s="1164"/>
      <c r="BA118" s="1164"/>
      <c r="BB118" s="1164"/>
      <c r="BC118" s="1164"/>
      <c r="BD118" s="1640"/>
      <c r="BE118" s="1164"/>
      <c r="BF118" s="1164"/>
      <c r="BG118" s="548"/>
      <c r="BH118" s="1164"/>
      <c r="BI118" s="1164"/>
      <c r="BJ118" s="1164"/>
      <c r="BK118" s="1164"/>
      <c r="BL118" s="1164"/>
      <c r="BM118" s="1636"/>
      <c r="BN118" s="570"/>
      <c r="BO118" s="570"/>
      <c r="BP118" s="570"/>
      <c r="BQ118" s="570"/>
      <c r="BR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W119" s="1164"/>
      <c r="AX119" s="1640"/>
      <c r="AY119" s="1640"/>
      <c r="AZ119" s="1164"/>
      <c r="BA119" s="1164"/>
      <c r="BB119" s="1164"/>
      <c r="BC119" s="1164"/>
      <c r="BD119" s="1640"/>
      <c r="BE119" s="1164"/>
      <c r="BF119" s="1164"/>
      <c r="BG119" s="548"/>
      <c r="BH119" s="1164"/>
      <c r="BI119" s="1164"/>
      <c r="BJ119" s="1164"/>
      <c r="BK119" s="1164"/>
      <c r="BL119" s="1164"/>
      <c r="BM119" s="1636"/>
      <c r="BN119" s="570"/>
      <c r="BO119" s="570"/>
      <c r="BP119" s="570"/>
      <c r="BQ119" s="570"/>
      <c r="BR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W120" s="1164"/>
      <c r="AX120" s="1640"/>
      <c r="AY120" s="1640"/>
      <c r="AZ120" s="1164"/>
      <c r="BA120" s="1164"/>
      <c r="BB120" s="1164"/>
      <c r="BC120" s="1164"/>
      <c r="BD120" s="1640"/>
      <c r="BE120" s="1164"/>
      <c r="BF120" s="1164"/>
      <c r="BG120" s="548"/>
      <c r="BH120" s="1164"/>
      <c r="BI120" s="1164"/>
      <c r="BJ120" s="1164"/>
      <c r="BK120" s="1164"/>
      <c r="BL120" s="1164"/>
      <c r="BM120" s="1636"/>
      <c r="BN120" s="570"/>
      <c r="BO120" s="570"/>
      <c r="BP120" s="570"/>
      <c r="BQ120" s="570"/>
      <c r="BR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W121" s="1164"/>
      <c r="AX121" s="1640"/>
      <c r="AY121" s="1640"/>
      <c r="AZ121" s="1164"/>
      <c r="BA121" s="1164"/>
      <c r="BB121" s="1164"/>
      <c r="BC121" s="1164"/>
      <c r="BD121" s="1640"/>
      <c r="BE121" s="1164"/>
      <c r="BF121" s="1164"/>
      <c r="BG121" s="548"/>
      <c r="BH121" s="1164"/>
      <c r="BI121" s="1164"/>
      <c r="BJ121" s="1164"/>
      <c r="BK121" s="1164"/>
      <c r="BL121" s="1164"/>
      <c r="BM121" s="1636"/>
      <c r="BN121" s="570"/>
      <c r="BO121" s="570"/>
      <c r="BP121" s="570"/>
      <c r="BQ121" s="570"/>
      <c r="BR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W122" s="1164"/>
      <c r="AX122" s="1640"/>
      <c r="AY122" s="1640"/>
      <c r="AZ122" s="1164"/>
      <c r="BA122" s="1164"/>
      <c r="BB122" s="1164"/>
      <c r="BC122" s="1164"/>
      <c r="BD122" s="1640"/>
      <c r="BE122" s="1164"/>
      <c r="BF122" s="1164"/>
      <c r="BG122" s="548"/>
      <c r="BH122" s="1164"/>
      <c r="BI122" s="1164"/>
      <c r="BJ122" s="1164"/>
      <c r="BK122" s="1164"/>
      <c r="BL122" s="1164"/>
      <c r="BM122" s="1636"/>
      <c r="BN122" s="570"/>
      <c r="BO122" s="570"/>
      <c r="BP122" s="570"/>
      <c r="BQ122" s="570"/>
      <c r="BR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W123" s="1164"/>
      <c r="AX123" s="1640"/>
      <c r="AY123" s="1640"/>
      <c r="AZ123" s="1164"/>
      <c r="BA123" s="1164"/>
      <c r="BB123" s="1164"/>
      <c r="BC123" s="1164"/>
      <c r="BD123" s="1640"/>
      <c r="BE123" s="1164"/>
      <c r="BF123" s="1164"/>
      <c r="BG123" s="548"/>
      <c r="BH123" s="1164"/>
      <c r="BI123" s="1164"/>
      <c r="BJ123" s="1164"/>
      <c r="BK123" s="1164"/>
      <c r="BL123" s="1164"/>
      <c r="BM123" s="1636"/>
      <c r="BN123" s="570"/>
      <c r="BO123" s="570"/>
      <c r="BP123" s="570"/>
      <c r="BQ123" s="570"/>
      <c r="BR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W124" s="1164"/>
      <c r="AX124" s="1640"/>
      <c r="AY124" s="1640"/>
      <c r="AZ124" s="1164"/>
      <c r="BA124" s="1164"/>
      <c r="BB124" s="1164"/>
      <c r="BC124" s="1164"/>
      <c r="BD124" s="1640"/>
      <c r="BE124" s="1164"/>
      <c r="BF124" s="1164"/>
      <c r="BG124" s="548"/>
      <c r="BH124" s="1164"/>
      <c r="BI124" s="1164"/>
      <c r="BJ124" s="1164"/>
      <c r="BK124" s="1164"/>
      <c r="BL124" s="1164"/>
      <c r="BM124" s="1636"/>
      <c r="BN124" s="570"/>
      <c r="BO124" s="570"/>
      <c r="BP124" s="570"/>
      <c r="BQ124" s="570"/>
      <c r="BR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W125" s="1164"/>
      <c r="AX125" s="1640"/>
      <c r="AY125" s="1640"/>
      <c r="AZ125" s="1164"/>
      <c r="BA125" s="1164"/>
      <c r="BB125" s="1164"/>
      <c r="BC125" s="1164"/>
      <c r="BD125" s="1640"/>
      <c r="BE125" s="1164"/>
      <c r="BF125" s="1164"/>
      <c r="BG125" s="548"/>
      <c r="BH125" s="1164"/>
      <c r="BI125" s="1164"/>
      <c r="BJ125" s="1164"/>
      <c r="BK125" s="1164"/>
      <c r="BL125" s="1164"/>
      <c r="BM125" s="1636"/>
      <c r="BN125" s="570"/>
      <c r="BO125" s="570"/>
      <c r="BP125" s="570"/>
      <c r="BQ125" s="570"/>
      <c r="BR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W126" s="1164"/>
      <c r="AX126" s="1640"/>
      <c r="AY126" s="1640"/>
      <c r="AZ126" s="1164"/>
      <c r="BA126" s="1164"/>
      <c r="BB126" s="1164"/>
      <c r="BC126" s="1164"/>
      <c r="BD126" s="1640"/>
      <c r="BE126" s="1164"/>
      <c r="BF126" s="1164"/>
      <c r="BG126" s="548"/>
      <c r="BH126" s="1164"/>
      <c r="BI126" s="1164"/>
      <c r="BJ126" s="1164"/>
      <c r="BK126" s="1164"/>
      <c r="BL126" s="1164"/>
      <c r="BM126" s="1636"/>
      <c r="BN126" s="570"/>
      <c r="BO126" s="570"/>
      <c r="BP126" s="570"/>
      <c r="BQ126" s="570"/>
      <c r="BR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W127" s="1164"/>
      <c r="AX127" s="1640"/>
      <c r="AY127" s="1640"/>
      <c r="AZ127" s="1164"/>
      <c r="BA127" s="1164"/>
      <c r="BB127" s="1164"/>
      <c r="BC127" s="1164"/>
      <c r="BD127" s="1640"/>
      <c r="BE127" s="1164"/>
      <c r="BF127" s="1164"/>
      <c r="BG127" s="548"/>
      <c r="BH127" s="1164"/>
      <c r="BI127" s="1164"/>
      <c r="BJ127" s="1164"/>
      <c r="BK127" s="1164"/>
      <c r="BL127" s="1164"/>
      <c r="BM127" s="1636"/>
      <c r="BN127" s="570"/>
      <c r="BO127" s="570"/>
      <c r="BP127" s="570"/>
      <c r="BQ127" s="570"/>
      <c r="BR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W128" s="1164"/>
      <c r="AX128" s="1640"/>
      <c r="AY128" s="1640"/>
      <c r="AZ128" s="1164"/>
      <c r="BA128" s="1164"/>
      <c r="BB128" s="1164"/>
      <c r="BC128" s="1164"/>
      <c r="BD128" s="1640"/>
      <c r="BE128" s="1164"/>
      <c r="BF128" s="1164"/>
      <c r="BG128" s="548"/>
      <c r="BH128" s="1164"/>
      <c r="BI128" s="1164"/>
      <c r="BJ128" s="1164"/>
      <c r="BK128" s="1164"/>
      <c r="BL128" s="1164"/>
      <c r="BM128" s="1636"/>
      <c r="BN128" s="570"/>
      <c r="BO128" s="570"/>
      <c r="BP128" s="570"/>
      <c r="BQ128" s="570"/>
      <c r="BR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W129" s="1164"/>
      <c r="AX129" s="1640"/>
      <c r="AY129" s="1640"/>
      <c r="AZ129" s="1164"/>
      <c r="BA129" s="1164"/>
      <c r="BB129" s="1164"/>
      <c r="BC129" s="1164"/>
      <c r="BD129" s="1640"/>
      <c r="BE129" s="1164"/>
      <c r="BF129" s="1164"/>
      <c r="BG129" s="548"/>
      <c r="BH129" s="1164"/>
      <c r="BI129" s="1164"/>
      <c r="BJ129" s="1164"/>
      <c r="BK129" s="1164"/>
      <c r="BL129" s="1164"/>
      <c r="BM129" s="1636"/>
      <c r="BN129" s="570"/>
      <c r="BO129" s="570"/>
      <c r="BP129" s="570"/>
      <c r="BQ129" s="570"/>
      <c r="BR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W130" s="1164"/>
      <c r="AX130" s="1640"/>
      <c r="AY130" s="1640"/>
      <c r="AZ130" s="1164"/>
      <c r="BA130" s="1164"/>
      <c r="BB130" s="1164"/>
      <c r="BC130" s="1164"/>
      <c r="BD130" s="1640"/>
      <c r="BE130" s="1164"/>
      <c r="BF130" s="1164"/>
      <c r="BG130" s="548"/>
      <c r="BH130" s="1164"/>
      <c r="BI130" s="1164"/>
      <c r="BJ130" s="1164"/>
      <c r="BK130" s="1164"/>
      <c r="BL130" s="1164"/>
      <c r="BM130" s="1636"/>
      <c r="BN130" s="570"/>
      <c r="BO130" s="570"/>
      <c r="BP130" s="570"/>
      <c r="BQ130" s="570"/>
      <c r="BR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W131" s="1164"/>
      <c r="AX131" s="1640"/>
      <c r="AY131" s="1640"/>
      <c r="AZ131" s="1164"/>
      <c r="BA131" s="1164"/>
      <c r="BB131" s="1164"/>
      <c r="BC131" s="1164"/>
      <c r="BD131" s="1640"/>
      <c r="BE131" s="1164"/>
      <c r="BF131" s="1164"/>
      <c r="BG131" s="548"/>
      <c r="BH131" s="1164"/>
      <c r="BI131" s="1164"/>
      <c r="BJ131" s="1164"/>
      <c r="BK131" s="1164"/>
      <c r="BL131" s="1164"/>
      <c r="BM131" s="1636"/>
      <c r="BN131" s="570"/>
      <c r="BO131" s="570"/>
      <c r="BP131" s="570"/>
      <c r="BQ131" s="570"/>
      <c r="BR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W132" s="1164"/>
      <c r="AX132" s="1640"/>
      <c r="AY132" s="1640"/>
      <c r="AZ132" s="1164"/>
      <c r="BA132" s="1164"/>
      <c r="BB132" s="1164"/>
      <c r="BC132" s="1164"/>
      <c r="BD132" s="1640"/>
      <c r="BE132" s="1164"/>
      <c r="BF132" s="1164"/>
      <c r="BG132" s="548"/>
      <c r="BH132" s="1164"/>
      <c r="BI132" s="1164"/>
      <c r="BJ132" s="1164"/>
      <c r="BK132" s="1164"/>
      <c r="BL132" s="1164"/>
      <c r="BM132" s="1636"/>
      <c r="BN132" s="570"/>
      <c r="BO132" s="570"/>
      <c r="BP132" s="570"/>
      <c r="BQ132" s="570"/>
      <c r="BR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W133" s="1164"/>
      <c r="AX133" s="1640"/>
      <c r="AY133" s="1640"/>
      <c r="AZ133" s="1164"/>
      <c r="BA133" s="1164"/>
      <c r="BB133" s="1164"/>
      <c r="BC133" s="1164"/>
      <c r="BD133" s="1640"/>
      <c r="BE133" s="1164"/>
      <c r="BF133" s="1164"/>
      <c r="BG133" s="548"/>
      <c r="BH133" s="1164"/>
      <c r="BI133" s="1164"/>
      <c r="BJ133" s="1164"/>
      <c r="BK133" s="1164"/>
      <c r="BL133" s="1164"/>
      <c r="BM133" s="1636"/>
      <c r="BN133" s="570"/>
      <c r="BO133" s="570"/>
      <c r="BP133" s="570"/>
      <c r="BQ133" s="570"/>
      <c r="BR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W134" s="1164"/>
      <c r="AX134" s="1640"/>
      <c r="AY134" s="1640"/>
      <c r="AZ134" s="1164"/>
      <c r="BA134" s="1164"/>
      <c r="BB134" s="1164"/>
      <c r="BC134" s="1164"/>
      <c r="BD134" s="1640"/>
      <c r="BE134" s="1164"/>
      <c r="BF134" s="1164"/>
      <c r="BG134" s="548"/>
      <c r="BH134" s="1164"/>
      <c r="BI134" s="1164"/>
      <c r="BJ134" s="1164"/>
      <c r="BK134" s="1164"/>
      <c r="BL134" s="1164"/>
      <c r="BM134" s="1636"/>
      <c r="BN134" s="570"/>
      <c r="BO134" s="570"/>
      <c r="BP134" s="570"/>
      <c r="BQ134" s="570"/>
      <c r="BR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W135" s="1164"/>
      <c r="AX135" s="1640"/>
      <c r="AY135" s="1640"/>
      <c r="AZ135" s="1164"/>
      <c r="BA135" s="1164"/>
      <c r="BB135" s="1164"/>
      <c r="BC135" s="1164"/>
      <c r="BD135" s="1640"/>
      <c r="BE135" s="1164"/>
      <c r="BF135" s="1164"/>
      <c r="BG135" s="548"/>
      <c r="BH135" s="1164"/>
      <c r="BI135" s="1164"/>
      <c r="BJ135" s="1164"/>
      <c r="BK135" s="1164"/>
      <c r="BL135" s="1164"/>
      <c r="BM135" s="1636"/>
      <c r="BN135" s="570"/>
      <c r="BO135" s="570"/>
      <c r="BP135" s="570"/>
      <c r="BQ135" s="570"/>
      <c r="BR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W136" s="1164"/>
      <c r="AX136" s="1640"/>
      <c r="AY136" s="1640"/>
      <c r="AZ136" s="1164"/>
      <c r="BA136" s="1164"/>
      <c r="BB136" s="1164"/>
      <c r="BC136" s="1164"/>
      <c r="BD136" s="1640"/>
      <c r="BE136" s="1164"/>
      <c r="BF136" s="1164"/>
      <c r="BG136" s="548"/>
      <c r="BH136" s="1164"/>
      <c r="BI136" s="1164"/>
      <c r="BJ136" s="1164"/>
      <c r="BK136" s="1164"/>
      <c r="BL136" s="1164"/>
      <c r="BM136" s="1636"/>
      <c r="BN136" s="570"/>
      <c r="BO136" s="570"/>
      <c r="BP136" s="570"/>
      <c r="BQ136" s="570"/>
      <c r="BR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W137" s="1164"/>
      <c r="AX137" s="1640"/>
      <c r="AY137" s="1640"/>
      <c r="AZ137" s="1164"/>
      <c r="BA137" s="1164"/>
      <c r="BB137" s="1164"/>
      <c r="BC137" s="1164"/>
      <c r="BD137" s="1640"/>
      <c r="BE137" s="1164"/>
      <c r="BF137" s="1164"/>
      <c r="BG137" s="548"/>
      <c r="BH137" s="1164"/>
      <c r="BI137" s="1164"/>
      <c r="BJ137" s="1164"/>
      <c r="BK137" s="1164"/>
      <c r="BL137" s="1164"/>
      <c r="BM137" s="1636"/>
      <c r="BN137" s="570"/>
      <c r="BO137" s="570"/>
      <c r="BP137" s="570"/>
      <c r="BQ137" s="570"/>
      <c r="BR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W138" s="1164"/>
      <c r="AX138" s="1640"/>
      <c r="AY138" s="1640"/>
      <c r="AZ138" s="1164"/>
      <c r="BA138" s="1164"/>
      <c r="BB138" s="1164"/>
      <c r="BC138" s="1164"/>
      <c r="BD138" s="1640"/>
      <c r="BE138" s="1164"/>
      <c r="BF138" s="1164"/>
      <c r="BG138" s="548"/>
      <c r="BH138" s="1164"/>
      <c r="BI138" s="1164"/>
      <c r="BJ138" s="1164"/>
      <c r="BK138" s="1164"/>
      <c r="BL138" s="1164"/>
      <c r="BM138" s="1636"/>
      <c r="BN138" s="570"/>
      <c r="BO138" s="570"/>
      <c r="BP138" s="570"/>
      <c r="BQ138" s="570"/>
      <c r="BR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W139" s="1164"/>
      <c r="AX139" s="1640"/>
      <c r="AY139" s="1640"/>
      <c r="AZ139" s="1164"/>
      <c r="BA139" s="1164"/>
      <c r="BB139" s="1164"/>
      <c r="BC139" s="1164"/>
      <c r="BD139" s="1640"/>
      <c r="BE139" s="1164"/>
      <c r="BF139" s="1164"/>
      <c r="BG139" s="548"/>
      <c r="BH139" s="1164"/>
      <c r="BI139" s="1164"/>
      <c r="BJ139" s="1164"/>
      <c r="BK139" s="1164"/>
      <c r="BL139" s="1164"/>
      <c r="BM139" s="1636"/>
      <c r="BN139" s="570"/>
      <c r="BO139" s="570"/>
      <c r="BP139" s="570"/>
      <c r="BQ139" s="570"/>
      <c r="BR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W140" s="1164"/>
      <c r="AX140" s="1640"/>
      <c r="AY140" s="1640"/>
      <c r="AZ140" s="1164"/>
      <c r="BA140" s="1164"/>
      <c r="BB140" s="1164"/>
      <c r="BC140" s="1164"/>
      <c r="BD140" s="1640"/>
      <c r="BE140" s="1164"/>
      <c r="BF140" s="1164"/>
      <c r="BG140" s="548"/>
      <c r="BH140" s="1164"/>
      <c r="BI140" s="1164"/>
      <c r="BJ140" s="1164"/>
      <c r="BK140" s="1164"/>
      <c r="BL140" s="1164"/>
      <c r="BM140" s="1636"/>
      <c r="BN140" s="570"/>
      <c r="BO140" s="570"/>
      <c r="BP140" s="570"/>
      <c r="BQ140" s="570"/>
      <c r="BR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W141" s="1164"/>
      <c r="AX141" s="1640"/>
      <c r="AY141" s="1640"/>
      <c r="AZ141" s="1164"/>
      <c r="BA141" s="1164"/>
      <c r="BB141" s="1164"/>
      <c r="BC141" s="1164"/>
      <c r="BD141" s="1640"/>
      <c r="BE141" s="1164"/>
      <c r="BF141" s="1164"/>
      <c r="BG141" s="548"/>
      <c r="BH141" s="1164"/>
      <c r="BI141" s="1164"/>
      <c r="BJ141" s="1164"/>
      <c r="BK141" s="1164"/>
      <c r="BL141" s="1164"/>
      <c r="BM141" s="1636"/>
      <c r="BN141" s="570"/>
      <c r="BO141" s="570"/>
      <c r="BP141" s="570"/>
      <c r="BQ141" s="570"/>
      <c r="BR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W142" s="1164"/>
      <c r="AX142" s="1640"/>
      <c r="AY142" s="1640"/>
      <c r="AZ142" s="1164"/>
      <c r="BA142" s="1164"/>
      <c r="BB142" s="1164"/>
      <c r="BC142" s="1164"/>
      <c r="BD142" s="1640"/>
      <c r="BE142" s="1164"/>
      <c r="BF142" s="1164"/>
      <c r="BG142" s="548"/>
      <c r="BH142" s="1164"/>
      <c r="BI142" s="1164"/>
      <c r="BJ142" s="1164"/>
      <c r="BK142" s="1164"/>
      <c r="BL142" s="1164"/>
      <c r="BM142" s="1636"/>
      <c r="BN142" s="570"/>
      <c r="BO142" s="570"/>
      <c r="BP142" s="570"/>
      <c r="BQ142" s="570"/>
      <c r="BR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W143" s="1164"/>
      <c r="AX143" s="1640"/>
      <c r="AY143" s="1640"/>
      <c r="AZ143" s="1164"/>
      <c r="BA143" s="1164"/>
      <c r="BB143" s="1164"/>
      <c r="BC143" s="1164"/>
      <c r="BD143" s="1640"/>
      <c r="BE143" s="1164"/>
      <c r="BF143" s="1164"/>
      <c r="BG143" s="548"/>
      <c r="BH143" s="1164"/>
      <c r="BI143" s="1164"/>
      <c r="BJ143" s="1164"/>
      <c r="BK143" s="1164"/>
      <c r="BL143" s="1164"/>
      <c r="BM143" s="1636"/>
      <c r="BN143" s="570"/>
      <c r="BO143" s="570"/>
      <c r="BP143" s="570"/>
      <c r="BQ143" s="570"/>
      <c r="BR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W144" s="1164"/>
      <c r="AX144" s="1640"/>
      <c r="AY144" s="1640"/>
      <c r="AZ144" s="1164"/>
      <c r="BA144" s="1164"/>
      <c r="BB144" s="1164"/>
      <c r="BC144" s="1164"/>
      <c r="BD144" s="1640"/>
      <c r="BE144" s="1164"/>
      <c r="BF144" s="1164"/>
      <c r="BG144" s="548"/>
      <c r="BH144" s="1164"/>
      <c r="BI144" s="1164"/>
      <c r="BJ144" s="1164"/>
      <c r="BK144" s="1164"/>
      <c r="BL144" s="1164"/>
      <c r="BM144" s="1636"/>
      <c r="BN144" s="570"/>
      <c r="BO144" s="570"/>
      <c r="BP144" s="570"/>
      <c r="BQ144" s="570"/>
      <c r="BR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W145" s="1164"/>
      <c r="AX145" s="1640"/>
      <c r="AY145" s="1640"/>
      <c r="AZ145" s="1164"/>
      <c r="BA145" s="1164"/>
      <c r="BB145" s="1164"/>
      <c r="BC145" s="1164"/>
      <c r="BD145" s="1640"/>
      <c r="BE145" s="1164"/>
      <c r="BF145" s="1164"/>
      <c r="BG145" s="548"/>
      <c r="BH145" s="1164"/>
      <c r="BI145" s="1164"/>
      <c r="BJ145" s="1164"/>
      <c r="BK145" s="1164"/>
      <c r="BL145" s="1164"/>
      <c r="BM145" s="1636"/>
      <c r="BN145" s="570"/>
      <c r="BO145" s="570"/>
      <c r="BP145" s="570"/>
      <c r="BQ145" s="570"/>
      <c r="BR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W146" s="1164"/>
      <c r="AX146" s="1640"/>
      <c r="AY146" s="1640"/>
      <c r="AZ146" s="1164"/>
      <c r="BA146" s="1164"/>
      <c r="BB146" s="1164"/>
      <c r="BC146" s="1164"/>
      <c r="BD146" s="1640"/>
      <c r="BE146" s="1164"/>
      <c r="BF146" s="1164"/>
      <c r="BG146" s="548"/>
      <c r="BH146" s="1164"/>
      <c r="BI146" s="1164"/>
      <c r="BJ146" s="1164"/>
      <c r="BK146" s="1164"/>
      <c r="BL146" s="1164"/>
      <c r="BM146" s="1636"/>
      <c r="BN146" s="570"/>
      <c r="BO146" s="570"/>
      <c r="BP146" s="570"/>
      <c r="BQ146" s="570"/>
      <c r="BR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W147" s="1164"/>
      <c r="AX147" s="1640"/>
      <c r="AY147" s="1640"/>
      <c r="AZ147" s="1164"/>
      <c r="BA147" s="1164"/>
      <c r="BB147" s="1164"/>
      <c r="BC147" s="1164"/>
      <c r="BD147" s="1640"/>
      <c r="BE147" s="1164"/>
      <c r="BF147" s="1164"/>
      <c r="BG147" s="548"/>
      <c r="BH147" s="1164"/>
      <c r="BI147" s="1164"/>
      <c r="BJ147" s="1164"/>
      <c r="BK147" s="1164"/>
      <c r="BL147" s="1164"/>
      <c r="BM147" s="1636"/>
      <c r="BN147" s="570"/>
      <c r="BO147" s="570"/>
      <c r="BP147" s="570"/>
      <c r="BQ147" s="570"/>
      <c r="BR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W148" s="1164"/>
      <c r="AX148" s="1640"/>
      <c r="AY148" s="1640"/>
      <c r="AZ148" s="1164"/>
      <c r="BA148" s="1164"/>
      <c r="BB148" s="1164"/>
      <c r="BC148" s="1164"/>
      <c r="BD148" s="1640"/>
      <c r="BE148" s="1164"/>
      <c r="BF148" s="1164"/>
      <c r="BG148" s="548"/>
      <c r="BH148" s="1164"/>
      <c r="BI148" s="1164"/>
      <c r="BJ148" s="1164"/>
      <c r="BK148" s="1164"/>
      <c r="BL148" s="1164"/>
      <c r="BM148" s="1636"/>
      <c r="BN148" s="570"/>
      <c r="BO148" s="570"/>
      <c r="BP148" s="570"/>
      <c r="BQ148" s="570"/>
      <c r="BR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W149" s="1164"/>
      <c r="AX149" s="1640"/>
      <c r="AY149" s="1640"/>
      <c r="AZ149" s="1164"/>
      <c r="BA149" s="1164"/>
      <c r="BB149" s="1164"/>
      <c r="BC149" s="1164"/>
      <c r="BD149" s="1640"/>
      <c r="BE149" s="1164"/>
      <c r="BF149" s="1164"/>
      <c r="BG149" s="548"/>
      <c r="BH149" s="1164"/>
      <c r="BI149" s="1164"/>
      <c r="BJ149" s="1164"/>
      <c r="BK149" s="1164"/>
      <c r="BL149" s="1164"/>
      <c r="BM149" s="1636"/>
      <c r="BN149" s="570"/>
      <c r="BO149" s="570"/>
      <c r="BP149" s="570"/>
      <c r="BQ149" s="570"/>
      <c r="BR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W150" s="1164"/>
      <c r="AX150" s="1640"/>
      <c r="AY150" s="1640"/>
      <c r="AZ150" s="1164"/>
      <c r="BA150" s="1164"/>
      <c r="BB150" s="1164"/>
      <c r="BC150" s="1164"/>
      <c r="BD150" s="1640"/>
      <c r="BE150" s="1164"/>
      <c r="BF150" s="1164"/>
      <c r="BG150" s="548"/>
      <c r="BH150" s="1164"/>
      <c r="BI150" s="1164"/>
      <c r="BJ150" s="1164"/>
      <c r="BK150" s="1164"/>
      <c r="BL150" s="1164"/>
      <c r="BM150" s="1636"/>
      <c r="BN150" s="570"/>
      <c r="BO150" s="570"/>
      <c r="BP150" s="570"/>
      <c r="BQ150" s="570"/>
      <c r="BR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W151" s="1164"/>
      <c r="AX151" s="1640"/>
      <c r="AY151" s="1640"/>
      <c r="AZ151" s="1164"/>
      <c r="BA151" s="1164"/>
      <c r="BB151" s="1164"/>
      <c r="BC151" s="1164"/>
      <c r="BD151" s="1640"/>
      <c r="BE151" s="1164"/>
      <c r="BF151" s="1164"/>
      <c r="BG151" s="548"/>
      <c r="BH151" s="1164"/>
      <c r="BI151" s="1164"/>
      <c r="BJ151" s="1164"/>
      <c r="BK151" s="1164"/>
      <c r="BL151" s="1164"/>
      <c r="BM151" s="1636"/>
      <c r="BN151" s="570"/>
      <c r="BO151" s="570"/>
      <c r="BP151" s="570"/>
      <c r="BQ151" s="570"/>
      <c r="BR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W152" s="1164"/>
      <c r="AX152" s="1640"/>
      <c r="AY152" s="1640"/>
      <c r="AZ152" s="1164"/>
      <c r="BA152" s="1164"/>
      <c r="BB152" s="1164"/>
      <c r="BC152" s="1164"/>
      <c r="BD152" s="1640"/>
      <c r="BE152" s="1164"/>
      <c r="BF152" s="1164"/>
      <c r="BG152" s="548"/>
      <c r="BH152" s="1164"/>
      <c r="BI152" s="1164"/>
      <c r="BJ152" s="1164"/>
      <c r="BK152" s="1164"/>
      <c r="BL152" s="1164"/>
      <c r="BM152" s="1636"/>
      <c r="BN152" s="570"/>
      <c r="BO152" s="570"/>
      <c r="BP152" s="570"/>
      <c r="BQ152" s="570"/>
      <c r="BR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W153" s="1164"/>
      <c r="AX153" s="1640"/>
      <c r="AY153" s="1640"/>
      <c r="AZ153" s="1164"/>
      <c r="BA153" s="1164"/>
      <c r="BB153" s="1164"/>
      <c r="BC153" s="1164"/>
      <c r="BD153" s="1640"/>
      <c r="BE153" s="1164"/>
      <c r="BF153" s="1164"/>
      <c r="BG153" s="548"/>
      <c r="BH153" s="1164"/>
      <c r="BI153" s="1164"/>
      <c r="BJ153" s="1164"/>
      <c r="BK153" s="1164"/>
      <c r="BL153" s="1164"/>
      <c r="BM153" s="1636"/>
      <c r="BN153" s="570"/>
      <c r="BO153" s="570"/>
      <c r="BP153" s="570"/>
      <c r="BQ153" s="570"/>
      <c r="BR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W154" s="1164"/>
      <c r="AX154" s="1640"/>
      <c r="AY154" s="1640"/>
      <c r="AZ154" s="1164"/>
      <c r="BA154" s="1164"/>
      <c r="BB154" s="1164"/>
      <c r="BC154" s="1164"/>
      <c r="BD154" s="1640"/>
      <c r="BE154" s="1164"/>
      <c r="BF154" s="1164"/>
      <c r="BG154" s="548"/>
      <c r="BH154" s="1164"/>
      <c r="BI154" s="1164"/>
      <c r="BJ154" s="1164"/>
      <c r="BK154" s="1164"/>
      <c r="BL154" s="1164"/>
      <c r="BM154" s="1636"/>
      <c r="BN154" s="570"/>
      <c r="BO154" s="570"/>
      <c r="BP154" s="570"/>
      <c r="BQ154" s="570"/>
      <c r="BR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W155" s="1164"/>
      <c r="AX155" s="1640"/>
      <c r="AY155" s="1640"/>
      <c r="AZ155" s="1164"/>
      <c r="BA155" s="1164"/>
      <c r="BB155" s="1164"/>
      <c r="BC155" s="1164"/>
      <c r="BD155" s="1640"/>
      <c r="BE155" s="1164"/>
      <c r="BF155" s="1164"/>
      <c r="BG155" s="548"/>
      <c r="BH155" s="1164"/>
      <c r="BI155" s="1164"/>
      <c r="BJ155" s="1164"/>
      <c r="BK155" s="1164"/>
      <c r="BL155" s="1164"/>
      <c r="BM155" s="1636"/>
      <c r="BN155" s="570"/>
      <c r="BO155" s="570"/>
      <c r="BP155" s="570"/>
      <c r="BQ155" s="570"/>
      <c r="BR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W156" s="1164"/>
      <c r="AX156" s="1640"/>
      <c r="AY156" s="1640"/>
      <c r="AZ156" s="1164"/>
      <c r="BA156" s="1164"/>
      <c r="BB156" s="1164"/>
      <c r="BC156" s="1164"/>
      <c r="BD156" s="1640"/>
      <c r="BE156" s="1164"/>
      <c r="BF156" s="1164"/>
      <c r="BG156" s="548"/>
      <c r="BH156" s="1164"/>
      <c r="BI156" s="1164"/>
      <c r="BJ156" s="1164"/>
      <c r="BK156" s="1164"/>
      <c r="BL156" s="1164"/>
      <c r="BM156" s="1636"/>
      <c r="BN156" s="570"/>
      <c r="BO156" s="570"/>
      <c r="BP156" s="570"/>
      <c r="BQ156" s="570"/>
      <c r="BR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W157" s="1164"/>
      <c r="AX157" s="1640"/>
      <c r="AY157" s="1640"/>
      <c r="AZ157" s="1164"/>
      <c r="BA157" s="1164"/>
      <c r="BB157" s="1164"/>
      <c r="BC157" s="1164"/>
      <c r="BD157" s="1640"/>
      <c r="BE157" s="1164"/>
      <c r="BF157" s="1164"/>
      <c r="BG157" s="548"/>
      <c r="BH157" s="1164"/>
      <c r="BI157" s="1164"/>
      <c r="BJ157" s="1164"/>
      <c r="BK157" s="1164"/>
      <c r="BL157" s="1164"/>
      <c r="BM157" s="1636"/>
      <c r="BN157" s="570"/>
      <c r="BO157" s="570"/>
      <c r="BP157" s="570"/>
      <c r="BQ157" s="570"/>
      <c r="BR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W158" s="1164"/>
      <c r="AX158" s="1640"/>
      <c r="AY158" s="1640"/>
      <c r="AZ158" s="1164"/>
      <c r="BA158" s="1164"/>
      <c r="BB158" s="1164"/>
      <c r="BC158" s="1164"/>
      <c r="BD158" s="1640"/>
      <c r="BE158" s="1164"/>
      <c r="BF158" s="1164"/>
      <c r="BG158" s="548"/>
      <c r="BH158" s="1164"/>
      <c r="BI158" s="1164"/>
      <c r="BJ158" s="1164"/>
      <c r="BK158" s="1164"/>
      <c r="BL158" s="1164"/>
      <c r="BM158" s="1636"/>
      <c r="BN158" s="570"/>
      <c r="BO158" s="570"/>
      <c r="BP158" s="570"/>
      <c r="BQ158" s="570"/>
      <c r="BR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W159" s="1164"/>
      <c r="AX159" s="1640"/>
      <c r="AY159" s="1640"/>
      <c r="AZ159" s="1164"/>
      <c r="BA159" s="1164"/>
      <c r="BB159" s="1164"/>
      <c r="BC159" s="1164"/>
      <c r="BD159" s="1640"/>
      <c r="BE159" s="1164"/>
      <c r="BF159" s="1164"/>
      <c r="BG159" s="548"/>
      <c r="BH159" s="1164"/>
      <c r="BI159" s="1164"/>
      <c r="BJ159" s="1164"/>
      <c r="BK159" s="1164"/>
      <c r="BL159" s="1164"/>
      <c r="BM159" s="1636"/>
      <c r="BN159" s="570"/>
      <c r="BO159" s="570"/>
      <c r="BP159" s="570"/>
      <c r="BQ159" s="570"/>
      <c r="BR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W160" s="1164"/>
      <c r="AX160" s="1640"/>
      <c r="AY160" s="1640"/>
      <c r="AZ160" s="1164"/>
      <c r="BA160" s="1164"/>
      <c r="BB160" s="1164"/>
      <c r="BC160" s="1164"/>
      <c r="BD160" s="1640"/>
      <c r="BE160" s="1164"/>
      <c r="BF160" s="1164"/>
      <c r="BG160" s="548"/>
      <c r="BH160" s="1164"/>
      <c r="BI160" s="1164"/>
      <c r="BJ160" s="1164"/>
      <c r="BK160" s="1164"/>
      <c r="BL160" s="1164"/>
      <c r="BM160" s="1636"/>
      <c r="BN160" s="570"/>
      <c r="BO160" s="570"/>
      <c r="BP160" s="570"/>
      <c r="BQ160" s="570"/>
      <c r="BR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W161" s="1164"/>
      <c r="AX161" s="1640"/>
      <c r="AY161" s="1640"/>
      <c r="AZ161" s="1164"/>
      <c r="BA161" s="1164"/>
      <c r="BB161" s="1164"/>
      <c r="BC161" s="1164"/>
      <c r="BD161" s="1640"/>
      <c r="BE161" s="1164"/>
      <c r="BF161" s="1164"/>
      <c r="BG161" s="548"/>
      <c r="BH161" s="1164"/>
      <c r="BI161" s="1164"/>
      <c r="BJ161" s="1164"/>
      <c r="BK161" s="1164"/>
      <c r="BL161" s="1164"/>
      <c r="BM161" s="1636"/>
      <c r="BN161" s="570"/>
      <c r="BO161" s="570"/>
      <c r="BP161" s="570"/>
      <c r="BQ161" s="570"/>
      <c r="BR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W162" s="1164"/>
      <c r="AX162" s="1640"/>
      <c r="AY162" s="1640"/>
      <c r="AZ162" s="1164"/>
      <c r="BA162" s="1164"/>
      <c r="BB162" s="1164"/>
      <c r="BC162" s="1164"/>
      <c r="BD162" s="1640"/>
      <c r="BE162" s="1164"/>
      <c r="BF162" s="1164"/>
      <c r="BG162" s="548"/>
      <c r="BH162" s="1164"/>
      <c r="BI162" s="1164"/>
      <c r="BJ162" s="1164"/>
      <c r="BK162" s="1164"/>
      <c r="BL162" s="1164"/>
      <c r="BM162" s="1636"/>
      <c r="BN162" s="570"/>
      <c r="BO162" s="570"/>
      <c r="BP162" s="570"/>
      <c r="BQ162" s="570"/>
      <c r="BR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W163" s="1164"/>
      <c r="AX163" s="1640"/>
      <c r="AY163" s="1640"/>
      <c r="AZ163" s="1164"/>
      <c r="BA163" s="1164"/>
      <c r="BB163" s="1164"/>
      <c r="BC163" s="1164"/>
      <c r="BD163" s="1640"/>
      <c r="BE163" s="1164"/>
      <c r="BF163" s="1164"/>
      <c r="BG163" s="548"/>
      <c r="BH163" s="1164"/>
      <c r="BI163" s="1164"/>
      <c r="BJ163" s="1164"/>
      <c r="BK163" s="1164"/>
      <c r="BL163" s="1164"/>
      <c r="BM163" s="1636"/>
      <c r="BN163" s="570"/>
      <c r="BO163" s="570"/>
      <c r="BP163" s="570"/>
      <c r="BQ163" s="570"/>
      <c r="BR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W164" s="1164"/>
      <c r="AX164" s="1640"/>
      <c r="AY164" s="1640"/>
      <c r="AZ164" s="1164"/>
      <c r="BA164" s="1164"/>
      <c r="BB164" s="1164"/>
      <c r="BC164" s="1164"/>
      <c r="BD164" s="1640"/>
      <c r="BE164" s="1164"/>
      <c r="BF164" s="1164"/>
      <c r="BG164" s="548"/>
      <c r="BH164" s="1164"/>
      <c r="BI164" s="1164"/>
      <c r="BJ164" s="1164"/>
      <c r="BK164" s="1164"/>
      <c r="BL164" s="1164"/>
      <c r="BM164" s="1636"/>
      <c r="BN164" s="570"/>
      <c r="BO164" s="570"/>
      <c r="BP164" s="570"/>
      <c r="BQ164" s="570"/>
      <c r="BR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W165" s="1164"/>
      <c r="AX165" s="1640"/>
      <c r="AY165" s="1640"/>
      <c r="AZ165" s="1164"/>
      <c r="BA165" s="1164"/>
      <c r="BB165" s="1164"/>
      <c r="BC165" s="1164"/>
      <c r="BD165" s="1640"/>
      <c r="BE165" s="1164"/>
      <c r="BF165" s="1164"/>
      <c r="BG165" s="548"/>
      <c r="BH165" s="1164"/>
      <c r="BI165" s="1164"/>
      <c r="BJ165" s="1164"/>
      <c r="BK165" s="1164"/>
      <c r="BL165" s="1164"/>
      <c r="BM165" s="1636"/>
      <c r="BN165" s="570"/>
      <c r="BO165" s="570"/>
      <c r="BP165" s="570"/>
      <c r="BQ165" s="570"/>
      <c r="BR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W166" s="1164"/>
      <c r="AX166" s="1640"/>
      <c r="AY166" s="1640"/>
      <c r="AZ166" s="1164"/>
      <c r="BA166" s="1164"/>
      <c r="BB166" s="1164"/>
      <c r="BC166" s="1164"/>
      <c r="BD166" s="1640"/>
      <c r="BE166" s="1164"/>
      <c r="BF166" s="1164"/>
      <c r="BG166" s="548"/>
      <c r="BH166" s="1164"/>
      <c r="BI166" s="1164"/>
      <c r="BJ166" s="1164"/>
      <c r="BK166" s="1164"/>
      <c r="BL166" s="1164"/>
      <c r="BM166" s="1636"/>
      <c r="BN166" s="570"/>
      <c r="BO166" s="570"/>
      <c r="BP166" s="570"/>
      <c r="BQ166" s="570"/>
      <c r="BR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W167" s="1164"/>
      <c r="AX167" s="1640"/>
      <c r="AY167" s="1640"/>
      <c r="AZ167" s="1164"/>
      <c r="BA167" s="1164"/>
      <c r="BB167" s="1164"/>
      <c r="BC167" s="1164"/>
      <c r="BD167" s="1640"/>
      <c r="BE167" s="1164"/>
      <c r="BF167" s="1164"/>
      <c r="BG167" s="548"/>
      <c r="BH167" s="1164"/>
      <c r="BI167" s="1164"/>
      <c r="BJ167" s="1164"/>
      <c r="BK167" s="1164"/>
      <c r="BL167" s="1164"/>
      <c r="BM167" s="1636"/>
      <c r="BN167" s="570"/>
      <c r="BO167" s="570"/>
      <c r="BP167" s="570"/>
      <c r="BQ167" s="570"/>
      <c r="BR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W168" s="1164"/>
      <c r="AX168" s="1640"/>
      <c r="AY168" s="1640"/>
      <c r="AZ168" s="1164"/>
      <c r="BA168" s="1164"/>
      <c r="BB168" s="1164"/>
      <c r="BC168" s="1164"/>
      <c r="BD168" s="1640"/>
      <c r="BE168" s="1164"/>
      <c r="BF168" s="1164"/>
      <c r="BG168" s="548"/>
      <c r="BH168" s="1164"/>
      <c r="BI168" s="1164"/>
      <c r="BJ168" s="1164"/>
      <c r="BK168" s="1164"/>
      <c r="BL168" s="1164"/>
      <c r="BM168" s="1636"/>
      <c r="BN168" s="570"/>
      <c r="BO168" s="570"/>
      <c r="BP168" s="570"/>
      <c r="BQ168" s="570"/>
      <c r="BR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W169" s="1164"/>
      <c r="AX169" s="1640"/>
      <c r="AY169" s="1640"/>
      <c r="AZ169" s="1164"/>
      <c r="BA169" s="1164"/>
      <c r="BB169" s="1164"/>
      <c r="BC169" s="1164"/>
      <c r="BD169" s="1640"/>
      <c r="BE169" s="1164"/>
      <c r="BF169" s="1164"/>
      <c r="BG169" s="548"/>
      <c r="BH169" s="1164"/>
      <c r="BI169" s="1164"/>
      <c r="BJ169" s="1164"/>
      <c r="BK169" s="1164"/>
      <c r="BL169" s="1164"/>
      <c r="BM169" s="1636"/>
      <c r="BN169" s="570"/>
      <c r="BO169" s="570"/>
      <c r="BP169" s="570"/>
      <c r="BQ169" s="570"/>
      <c r="BR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W170" s="1164"/>
      <c r="AX170" s="1640"/>
      <c r="AY170" s="1640"/>
      <c r="AZ170" s="1164"/>
      <c r="BA170" s="1164"/>
      <c r="BB170" s="1164"/>
      <c r="BC170" s="1164"/>
      <c r="BD170" s="1640"/>
      <c r="BE170" s="1164"/>
      <c r="BF170" s="1164"/>
      <c r="BG170" s="548"/>
      <c r="BH170" s="1164"/>
      <c r="BI170" s="1164"/>
      <c r="BJ170" s="1164"/>
      <c r="BK170" s="1164"/>
      <c r="BL170" s="1164"/>
      <c r="BM170" s="1636"/>
      <c r="BN170" s="570"/>
      <c r="BO170" s="570"/>
      <c r="BP170" s="570"/>
      <c r="BQ170" s="570"/>
      <c r="BR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W171" s="1164"/>
      <c r="AX171" s="1640"/>
      <c r="AY171" s="1640"/>
      <c r="AZ171" s="1164"/>
      <c r="BA171" s="1164"/>
      <c r="BB171" s="1164"/>
      <c r="BC171" s="1164"/>
      <c r="BD171" s="1640"/>
      <c r="BE171" s="1164"/>
      <c r="BF171" s="1164"/>
      <c r="BG171" s="548"/>
      <c r="BH171" s="1164"/>
      <c r="BI171" s="1164"/>
      <c r="BJ171" s="1164"/>
      <c r="BK171" s="1164"/>
      <c r="BL171" s="1164"/>
      <c r="BM171" s="1636"/>
      <c r="BN171" s="570"/>
      <c r="BO171" s="570"/>
      <c r="BP171" s="570"/>
      <c r="BQ171" s="570"/>
      <c r="BR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W172" s="1164"/>
      <c r="AX172" s="1640"/>
      <c r="AY172" s="1640"/>
      <c r="AZ172" s="1164"/>
      <c r="BA172" s="1164"/>
      <c r="BB172" s="1164"/>
      <c r="BC172" s="1164"/>
      <c r="BD172" s="1640"/>
      <c r="BE172" s="1164"/>
      <c r="BF172" s="1164"/>
      <c r="BG172" s="548"/>
      <c r="BH172" s="1164"/>
      <c r="BI172" s="1164"/>
      <c r="BJ172" s="1164"/>
      <c r="BK172" s="1164"/>
      <c r="BL172" s="1164"/>
      <c r="BM172" s="1636"/>
      <c r="BN172" s="570"/>
      <c r="BO172" s="570"/>
      <c r="BP172" s="570"/>
      <c r="BQ172" s="570"/>
      <c r="BR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W173" s="1164"/>
      <c r="AX173" s="1640"/>
      <c r="AY173" s="1640"/>
      <c r="AZ173" s="1164"/>
      <c r="BA173" s="1164"/>
      <c r="BB173" s="1164"/>
      <c r="BC173" s="1164"/>
      <c r="BD173" s="1640"/>
      <c r="BE173" s="1164"/>
      <c r="BF173" s="1164"/>
      <c r="BG173" s="548"/>
      <c r="BH173" s="1164"/>
      <c r="BI173" s="1164"/>
      <c r="BJ173" s="1164"/>
      <c r="BK173" s="1164"/>
      <c r="BL173" s="1164"/>
      <c r="BM173" s="1636"/>
      <c r="BN173" s="570"/>
      <c r="BO173" s="570"/>
      <c r="BP173" s="570"/>
      <c r="BQ173" s="570"/>
      <c r="BR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W174" s="1164"/>
      <c r="AX174" s="1640"/>
      <c r="AY174" s="1640"/>
      <c r="AZ174" s="1164"/>
      <c r="BA174" s="1164"/>
      <c r="BB174" s="1164"/>
      <c r="BC174" s="1164"/>
      <c r="BD174" s="1640"/>
      <c r="BE174" s="1164"/>
      <c r="BF174" s="1164"/>
      <c r="BG174" s="548"/>
      <c r="BH174" s="1164"/>
      <c r="BI174" s="1164"/>
      <c r="BJ174" s="1164"/>
      <c r="BK174" s="1164"/>
      <c r="BL174" s="1164"/>
      <c r="BM174" s="1636"/>
      <c r="BN174" s="570"/>
      <c r="BO174" s="570"/>
      <c r="BP174" s="570"/>
      <c r="BQ174" s="570"/>
      <c r="BR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W175" s="1164"/>
      <c r="AX175" s="1640"/>
      <c r="AY175" s="1640"/>
      <c r="AZ175" s="1164"/>
      <c r="BA175" s="1164"/>
      <c r="BB175" s="1164"/>
      <c r="BC175" s="1164"/>
      <c r="BD175" s="1640"/>
      <c r="BE175" s="1164"/>
      <c r="BF175" s="1164"/>
      <c r="BG175" s="548"/>
      <c r="BH175" s="1164"/>
      <c r="BI175" s="1164"/>
      <c r="BJ175" s="1164"/>
      <c r="BK175" s="1164"/>
      <c r="BL175" s="1164"/>
      <c r="BM175" s="1636"/>
      <c r="BN175" s="570"/>
      <c r="BO175" s="570"/>
      <c r="BP175" s="570"/>
      <c r="BQ175" s="570"/>
      <c r="BR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W176" s="1164"/>
      <c r="AX176" s="1640"/>
      <c r="AY176" s="1640"/>
      <c r="AZ176" s="1164"/>
      <c r="BA176" s="1164"/>
      <c r="BB176" s="1164"/>
      <c r="BC176" s="1164"/>
      <c r="BD176" s="1640"/>
      <c r="BE176" s="1164"/>
      <c r="BF176" s="1164"/>
      <c r="BG176" s="548"/>
      <c r="BH176" s="1164"/>
      <c r="BI176" s="1164"/>
      <c r="BJ176" s="1164"/>
      <c r="BK176" s="1164"/>
      <c r="BL176" s="1164"/>
      <c r="BM176" s="1636"/>
      <c r="BN176" s="570"/>
      <c r="BO176" s="570"/>
      <c r="BP176" s="570"/>
      <c r="BQ176" s="570"/>
      <c r="BR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W177" s="1164"/>
      <c r="AX177" s="1640"/>
      <c r="AY177" s="1640"/>
      <c r="AZ177" s="1164"/>
      <c r="BA177" s="1164"/>
      <c r="BB177" s="1164"/>
      <c r="BC177" s="1164"/>
      <c r="BD177" s="1640"/>
      <c r="BE177" s="1164"/>
      <c r="BF177" s="1164"/>
      <c r="BG177" s="548"/>
      <c r="BH177" s="1164"/>
      <c r="BI177" s="1164"/>
      <c r="BJ177" s="1164"/>
      <c r="BK177" s="1164"/>
      <c r="BL177" s="1164"/>
      <c r="BM177" s="1636"/>
      <c r="BN177" s="570"/>
      <c r="BO177" s="570"/>
      <c r="BP177" s="570"/>
      <c r="BQ177" s="570"/>
      <c r="BR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W178" s="1164"/>
      <c r="AX178" s="1640"/>
      <c r="AY178" s="1640"/>
      <c r="AZ178" s="1164"/>
      <c r="BA178" s="1164"/>
      <c r="BB178" s="1164"/>
      <c r="BC178" s="1164"/>
      <c r="BD178" s="1640"/>
      <c r="BE178" s="1164"/>
      <c r="BF178" s="1164"/>
      <c r="BG178" s="548"/>
      <c r="BH178" s="1164"/>
      <c r="BI178" s="1164"/>
      <c r="BJ178" s="1164"/>
      <c r="BK178" s="1164"/>
      <c r="BL178" s="1164"/>
      <c r="BM178" s="1636"/>
      <c r="BN178" s="570"/>
      <c r="BO178" s="570"/>
      <c r="BP178" s="570"/>
      <c r="BQ178" s="570"/>
      <c r="BR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W179" s="1164"/>
      <c r="AX179" s="1640"/>
      <c r="AY179" s="1640"/>
      <c r="AZ179" s="1164"/>
      <c r="BA179" s="1164"/>
      <c r="BB179" s="1164"/>
      <c r="BC179" s="1164"/>
      <c r="BD179" s="1640"/>
      <c r="BE179" s="1164"/>
      <c r="BF179" s="1164"/>
      <c r="BG179" s="548"/>
      <c r="BH179" s="1164"/>
      <c r="BI179" s="1164"/>
      <c r="BJ179" s="1164"/>
      <c r="BK179" s="1164"/>
      <c r="BL179" s="1164"/>
      <c r="BM179" s="1636"/>
      <c r="BN179" s="570"/>
      <c r="BO179" s="570"/>
      <c r="BP179" s="570"/>
      <c r="BQ179" s="570"/>
      <c r="BR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W180" s="1164"/>
      <c r="AX180" s="1640"/>
      <c r="AY180" s="1640"/>
      <c r="AZ180" s="1164"/>
      <c r="BA180" s="1164"/>
      <c r="BB180" s="1164"/>
      <c r="BC180" s="1164"/>
      <c r="BD180" s="1640"/>
      <c r="BE180" s="1164"/>
      <c r="BF180" s="1164"/>
      <c r="BG180" s="548"/>
      <c r="BH180" s="1164"/>
      <c r="BI180" s="1164"/>
      <c r="BJ180" s="1164"/>
      <c r="BK180" s="1164"/>
      <c r="BL180" s="1164"/>
      <c r="BM180" s="1636"/>
      <c r="BN180" s="570"/>
      <c r="BO180" s="570"/>
      <c r="BP180" s="570"/>
      <c r="BQ180" s="570"/>
      <c r="BR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W181" s="1164"/>
      <c r="AX181" s="1640"/>
      <c r="AY181" s="1640"/>
      <c r="AZ181" s="1164"/>
      <c r="BA181" s="1164"/>
      <c r="BB181" s="1164"/>
      <c r="BC181" s="1164"/>
      <c r="BD181" s="1640"/>
      <c r="BE181" s="1164"/>
      <c r="BF181" s="1164"/>
      <c r="BG181" s="548"/>
      <c r="BH181" s="1164"/>
      <c r="BI181" s="1164"/>
      <c r="BJ181" s="1164"/>
      <c r="BK181" s="1164"/>
      <c r="BL181" s="1164"/>
      <c r="BM181" s="1636"/>
      <c r="BN181" s="570"/>
      <c r="BO181" s="570"/>
      <c r="BP181" s="570"/>
      <c r="BQ181" s="570"/>
      <c r="BR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W182" s="1164"/>
      <c r="AX182" s="1640"/>
      <c r="AY182" s="1640"/>
      <c r="AZ182" s="1164"/>
      <c r="BA182" s="1164"/>
      <c r="BB182" s="1164"/>
      <c r="BC182" s="1164"/>
      <c r="BD182" s="1640"/>
      <c r="BE182" s="1164"/>
      <c r="BF182" s="1164"/>
      <c r="BG182" s="548"/>
      <c r="BH182" s="1164"/>
      <c r="BI182" s="1164"/>
      <c r="BJ182" s="1164"/>
      <c r="BK182" s="1164"/>
      <c r="BL182" s="1164"/>
      <c r="BM182" s="1636"/>
      <c r="BN182" s="570"/>
      <c r="BO182" s="570"/>
      <c r="BP182" s="570"/>
      <c r="BQ182" s="570"/>
      <c r="BR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W183" s="1164"/>
      <c r="AX183" s="1640"/>
      <c r="AY183" s="1640"/>
      <c r="AZ183" s="1164"/>
      <c r="BA183" s="1164"/>
      <c r="BB183" s="1164"/>
      <c r="BC183" s="1164"/>
      <c r="BD183" s="1640"/>
      <c r="BE183" s="1164"/>
      <c r="BF183" s="1164"/>
      <c r="BG183" s="548"/>
      <c r="BH183" s="1164"/>
      <c r="BI183" s="1164"/>
      <c r="BJ183" s="1164"/>
      <c r="BK183" s="1164"/>
      <c r="BL183" s="1164"/>
      <c r="BM183" s="1636"/>
      <c r="BN183" s="570"/>
      <c r="BO183" s="570"/>
      <c r="BP183" s="570"/>
      <c r="BQ183" s="570"/>
      <c r="BR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W184" s="1164"/>
      <c r="AX184" s="1640"/>
      <c r="AY184" s="1640"/>
      <c r="AZ184" s="1164"/>
      <c r="BA184" s="1164"/>
      <c r="BB184" s="1164"/>
      <c r="BC184" s="1164"/>
      <c r="BD184" s="1640"/>
      <c r="BE184" s="1164"/>
      <c r="BF184" s="1164"/>
      <c r="BG184" s="548"/>
      <c r="BH184" s="1164"/>
      <c r="BI184" s="1164"/>
      <c r="BJ184" s="1164"/>
      <c r="BK184" s="1164"/>
      <c r="BL184" s="1164"/>
      <c r="BM184" s="1636"/>
      <c r="BN184" s="570"/>
      <c r="BO184" s="570"/>
      <c r="BP184" s="570"/>
      <c r="BQ184" s="570"/>
      <c r="BR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W185" s="1164"/>
      <c r="AX185" s="1640"/>
      <c r="AY185" s="1640"/>
      <c r="AZ185" s="1164"/>
      <c r="BA185" s="1164"/>
      <c r="BB185" s="1164"/>
      <c r="BC185" s="1164"/>
      <c r="BD185" s="1640"/>
      <c r="BE185" s="1164"/>
      <c r="BF185" s="1164"/>
      <c r="BG185" s="548"/>
      <c r="BH185" s="1164"/>
      <c r="BI185" s="1164"/>
      <c r="BJ185" s="1164"/>
      <c r="BK185" s="1164"/>
      <c r="BL185" s="1164"/>
      <c r="BM185" s="1636"/>
      <c r="BN185" s="570"/>
      <c r="BO185" s="570"/>
      <c r="BP185" s="570"/>
      <c r="BQ185" s="570"/>
      <c r="BR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W186" s="1164"/>
      <c r="AX186" s="1640"/>
      <c r="AY186" s="1640"/>
      <c r="AZ186" s="1164"/>
      <c r="BA186" s="1164"/>
      <c r="BB186" s="1164"/>
      <c r="BC186" s="1164"/>
      <c r="BD186" s="1640"/>
      <c r="BE186" s="1164"/>
      <c r="BF186" s="1164"/>
      <c r="BG186" s="548"/>
      <c r="BH186" s="1164"/>
      <c r="BI186" s="1164"/>
      <c r="BJ186" s="1164"/>
      <c r="BK186" s="1164"/>
      <c r="BL186" s="1164"/>
      <c r="BM186" s="1636"/>
      <c r="BN186" s="570"/>
      <c r="BO186" s="570"/>
      <c r="BP186" s="570"/>
      <c r="BQ186" s="570"/>
      <c r="BR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W187" s="1164"/>
      <c r="AX187" s="1640"/>
      <c r="AY187" s="1640"/>
      <c r="AZ187" s="1164"/>
      <c r="BA187" s="1164"/>
      <c r="BB187" s="1164"/>
      <c r="BC187" s="1164"/>
      <c r="BD187" s="1640"/>
      <c r="BE187" s="1164"/>
      <c r="BF187" s="1164"/>
      <c r="BG187" s="548"/>
      <c r="BH187" s="1164"/>
      <c r="BI187" s="1164"/>
      <c r="BJ187" s="1164"/>
      <c r="BK187" s="1164"/>
      <c r="BL187" s="1164"/>
      <c r="BM187" s="1636"/>
      <c r="BN187" s="570"/>
      <c r="BO187" s="570"/>
      <c r="BP187" s="570"/>
      <c r="BQ187" s="570"/>
      <c r="BR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W188" s="1164"/>
      <c r="AX188" s="1640"/>
      <c r="AY188" s="1640"/>
      <c r="AZ188" s="1164"/>
      <c r="BA188" s="1164"/>
      <c r="BB188" s="1164"/>
      <c r="BC188" s="1164"/>
      <c r="BD188" s="1640"/>
      <c r="BE188" s="1164"/>
      <c r="BF188" s="1164"/>
      <c r="BG188" s="548"/>
      <c r="BH188" s="1164"/>
      <c r="BI188" s="1164"/>
      <c r="BJ188" s="1164"/>
      <c r="BK188" s="1164"/>
      <c r="BL188" s="1164"/>
      <c r="BM188" s="1636"/>
      <c r="BN188" s="570"/>
      <c r="BO188" s="570"/>
      <c r="BP188" s="570"/>
      <c r="BQ188" s="570"/>
      <c r="BR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W189" s="1164"/>
      <c r="AX189" s="1640"/>
      <c r="AY189" s="1640"/>
      <c r="AZ189" s="1164"/>
      <c r="BA189" s="1164"/>
      <c r="BB189" s="1164"/>
      <c r="BC189" s="1164"/>
      <c r="BD189" s="1640"/>
      <c r="BE189" s="1164"/>
      <c r="BF189" s="1164"/>
      <c r="BG189" s="548"/>
      <c r="BH189" s="1164"/>
      <c r="BI189" s="1164"/>
      <c r="BJ189" s="1164"/>
      <c r="BK189" s="1164"/>
      <c r="BL189" s="1164"/>
      <c r="BM189" s="1636"/>
      <c r="BN189" s="570"/>
      <c r="BO189" s="570"/>
      <c r="BP189" s="570"/>
      <c r="BQ189" s="570"/>
      <c r="BR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W190" s="1164"/>
      <c r="AX190" s="1640"/>
      <c r="AY190" s="1640"/>
      <c r="AZ190" s="1164"/>
      <c r="BA190" s="1164"/>
      <c r="BB190" s="1164"/>
      <c r="BC190" s="1164"/>
      <c r="BD190" s="1640"/>
      <c r="BE190" s="1164"/>
      <c r="BF190" s="1164"/>
      <c r="BG190" s="548"/>
      <c r="BH190" s="1164"/>
      <c r="BI190" s="1164"/>
      <c r="BJ190" s="1164"/>
      <c r="BK190" s="1164"/>
      <c r="BL190" s="1164"/>
      <c r="BM190" s="1636"/>
      <c r="BN190" s="570"/>
      <c r="BO190" s="570"/>
      <c r="BP190" s="570"/>
      <c r="BQ190" s="570"/>
      <c r="BR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W191" s="1164"/>
      <c r="AX191" s="1640"/>
      <c r="AY191" s="1640"/>
      <c r="AZ191" s="1164"/>
      <c r="BA191" s="1164"/>
      <c r="BB191" s="1164"/>
      <c r="BC191" s="1164"/>
      <c r="BD191" s="1640"/>
      <c r="BE191" s="1164"/>
      <c r="BF191" s="1164"/>
      <c r="BG191" s="548"/>
      <c r="BH191" s="1164"/>
      <c r="BI191" s="1164"/>
      <c r="BJ191" s="1164"/>
      <c r="BK191" s="1164"/>
      <c r="BL191" s="1164"/>
      <c r="BM191" s="1636"/>
      <c r="BN191" s="570"/>
      <c r="BO191" s="570"/>
      <c r="BP191" s="570"/>
      <c r="BQ191" s="570"/>
      <c r="BR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W192" s="1164"/>
      <c r="AX192" s="1640"/>
      <c r="AY192" s="1640"/>
      <c r="AZ192" s="1164"/>
      <c r="BA192" s="1164"/>
      <c r="BB192" s="1164"/>
      <c r="BC192" s="1164"/>
      <c r="BD192" s="1640"/>
      <c r="BE192" s="1164"/>
      <c r="BF192" s="1164"/>
      <c r="BG192" s="548"/>
      <c r="BH192" s="1164"/>
      <c r="BI192" s="1164"/>
      <c r="BJ192" s="1164"/>
      <c r="BK192" s="1164"/>
      <c r="BL192" s="1164"/>
      <c r="BM192" s="1636"/>
      <c r="BN192" s="570"/>
      <c r="BO192" s="570"/>
      <c r="BP192" s="570"/>
      <c r="BQ192" s="570"/>
      <c r="BR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W193" s="1164"/>
      <c r="AX193" s="1640"/>
      <c r="AY193" s="1640"/>
      <c r="AZ193" s="1164"/>
      <c r="BA193" s="1164"/>
      <c r="BB193" s="1164"/>
      <c r="BC193" s="1164"/>
      <c r="BD193" s="1640"/>
      <c r="BE193" s="1164"/>
      <c r="BF193" s="1164"/>
      <c r="BG193" s="548"/>
      <c r="BH193" s="1164"/>
      <c r="BI193" s="1164"/>
      <c r="BJ193" s="1164"/>
      <c r="BK193" s="1164"/>
      <c r="BL193" s="1164"/>
      <c r="BM193" s="1636"/>
      <c r="BN193" s="570"/>
      <c r="BO193" s="570"/>
      <c r="BP193" s="570"/>
      <c r="BQ193" s="570"/>
      <c r="BR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W194" s="1164"/>
      <c r="AX194" s="1640"/>
      <c r="AY194" s="1640"/>
      <c r="AZ194" s="1164"/>
      <c r="BA194" s="1164"/>
      <c r="BB194" s="1164"/>
      <c r="BC194" s="1164"/>
      <c r="BD194" s="1640"/>
      <c r="BE194" s="1164"/>
      <c r="BF194" s="1164"/>
      <c r="BG194" s="548"/>
      <c r="BH194" s="1164"/>
      <c r="BI194" s="1164"/>
      <c r="BJ194" s="1164"/>
      <c r="BK194" s="1164"/>
      <c r="BL194" s="1164"/>
      <c r="BM194" s="1636"/>
      <c r="BN194" s="570"/>
      <c r="BO194" s="570"/>
      <c r="BP194" s="570"/>
      <c r="BQ194" s="570"/>
      <c r="BR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W195" s="1164"/>
      <c r="AX195" s="1640"/>
      <c r="AY195" s="1640"/>
      <c r="AZ195" s="1164"/>
      <c r="BA195" s="1164"/>
      <c r="BB195" s="1164"/>
      <c r="BC195" s="1164"/>
      <c r="BD195" s="1640"/>
      <c r="BE195" s="1164"/>
      <c r="BF195" s="1164"/>
      <c r="BG195" s="548"/>
      <c r="BH195" s="1164"/>
      <c r="BI195" s="1164"/>
      <c r="BJ195" s="1164"/>
      <c r="BK195" s="1164"/>
      <c r="BL195" s="1164"/>
      <c r="BM195" s="1636"/>
      <c r="BN195" s="570"/>
      <c r="BO195" s="570"/>
      <c r="BP195" s="570"/>
      <c r="BQ195" s="570"/>
      <c r="BR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W196" s="1164"/>
      <c r="AX196" s="1640"/>
      <c r="AY196" s="1640"/>
      <c r="AZ196" s="1164"/>
      <c r="BA196" s="1164"/>
      <c r="BB196" s="1164"/>
      <c r="BC196" s="1164"/>
      <c r="BD196" s="1640"/>
      <c r="BE196" s="1164"/>
      <c r="BF196" s="1164"/>
      <c r="BG196" s="548"/>
      <c r="BH196" s="1164"/>
      <c r="BI196" s="1164"/>
      <c r="BJ196" s="1164"/>
      <c r="BK196" s="1164"/>
      <c r="BL196" s="1164"/>
      <c r="BM196" s="1636"/>
      <c r="BN196" s="570"/>
      <c r="BO196" s="570"/>
      <c r="BP196" s="570"/>
      <c r="BQ196" s="570"/>
      <c r="BR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W197" s="1164"/>
      <c r="AX197" s="1640"/>
      <c r="AY197" s="1640"/>
      <c r="AZ197" s="1164"/>
      <c r="BA197" s="1164"/>
      <c r="BB197" s="1164"/>
      <c r="BC197" s="1164"/>
      <c r="BD197" s="1640"/>
      <c r="BE197" s="1164"/>
      <c r="BF197" s="1164"/>
      <c r="BG197" s="548"/>
      <c r="BH197" s="1164"/>
      <c r="BI197" s="1164"/>
      <c r="BJ197" s="1164"/>
      <c r="BK197" s="1164"/>
      <c r="BL197" s="1164"/>
      <c r="BM197" s="1636"/>
      <c r="BN197" s="570"/>
      <c r="BO197" s="570"/>
      <c r="BP197" s="570"/>
      <c r="BQ197" s="570"/>
      <c r="BR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W198" s="1164"/>
      <c r="AX198" s="1640"/>
      <c r="AY198" s="1640"/>
      <c r="AZ198" s="1164"/>
      <c r="BA198" s="1164"/>
      <c r="BB198" s="1164"/>
      <c r="BC198" s="1164"/>
      <c r="BD198" s="1640"/>
      <c r="BE198" s="1164"/>
      <c r="BF198" s="1164"/>
      <c r="BG198" s="548"/>
      <c r="BH198" s="1164"/>
      <c r="BI198" s="1164"/>
      <c r="BJ198" s="1164"/>
      <c r="BK198" s="1164"/>
      <c r="BL198" s="1164"/>
      <c r="BM198" s="1636"/>
      <c r="BN198" s="570"/>
      <c r="BO198" s="570"/>
      <c r="BP198" s="570"/>
      <c r="BQ198" s="570"/>
      <c r="BR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W199" s="1164"/>
      <c r="AX199" s="1640"/>
      <c r="AY199" s="1640"/>
      <c r="AZ199" s="1164"/>
      <c r="BA199" s="1164"/>
      <c r="BB199" s="1164"/>
      <c r="BC199" s="1164"/>
      <c r="BD199" s="1640"/>
      <c r="BE199" s="1164"/>
      <c r="BF199" s="1164"/>
      <c r="BG199" s="548"/>
      <c r="BH199" s="1164"/>
      <c r="BI199" s="1164"/>
      <c r="BJ199" s="1164"/>
      <c r="BK199" s="1164"/>
      <c r="BL199" s="1164"/>
      <c r="BM199" s="1636"/>
      <c r="BN199" s="570"/>
      <c r="BO199" s="570"/>
      <c r="BP199" s="570"/>
      <c r="BQ199" s="570"/>
      <c r="BR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W200" s="1164"/>
      <c r="AX200" s="1640"/>
      <c r="AY200" s="1640"/>
      <c r="AZ200" s="1164"/>
      <c r="BA200" s="1164"/>
      <c r="BB200" s="1164"/>
      <c r="BC200" s="1164"/>
      <c r="BD200" s="1640"/>
      <c r="BE200" s="1164"/>
      <c r="BF200" s="1164"/>
      <c r="BG200" s="548"/>
      <c r="BH200" s="1164"/>
      <c r="BI200" s="1164"/>
      <c r="BJ200" s="1164"/>
      <c r="BK200" s="1164"/>
      <c r="BL200" s="1164"/>
      <c r="BM200" s="1636"/>
      <c r="BN200" s="570"/>
      <c r="BO200" s="570"/>
      <c r="BP200" s="570"/>
      <c r="BQ200" s="570"/>
      <c r="BR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W201" s="1164"/>
      <c r="AX201" s="1640"/>
      <c r="AY201" s="1640"/>
      <c r="AZ201" s="1164"/>
      <c r="BA201" s="1164"/>
      <c r="BB201" s="1164"/>
      <c r="BC201" s="1164"/>
      <c r="BD201" s="1640"/>
      <c r="BE201" s="1164"/>
      <c r="BF201" s="1164"/>
      <c r="BG201" s="548"/>
      <c r="BH201" s="1164"/>
      <c r="BI201" s="1164"/>
      <c r="BJ201" s="1164"/>
      <c r="BK201" s="1164"/>
      <c r="BL201" s="1164"/>
      <c r="BM201" s="1636"/>
      <c r="BN201" s="570"/>
      <c r="BO201" s="570"/>
      <c r="BP201" s="570"/>
      <c r="BQ201" s="570"/>
      <c r="BR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W202" s="1164"/>
      <c r="AX202" s="1640"/>
      <c r="AY202" s="1640"/>
      <c r="AZ202" s="1164"/>
      <c r="BA202" s="1164"/>
      <c r="BB202" s="1164"/>
      <c r="BC202" s="1164"/>
      <c r="BD202" s="1640"/>
      <c r="BE202" s="1164"/>
      <c r="BF202" s="1164"/>
      <c r="BG202" s="548"/>
      <c r="BH202" s="1164"/>
      <c r="BI202" s="1164"/>
      <c r="BJ202" s="1164"/>
      <c r="BK202" s="1164"/>
      <c r="BL202" s="1164"/>
      <c r="BM202" s="1636"/>
      <c r="BN202" s="570"/>
      <c r="BO202" s="570"/>
      <c r="BP202" s="570"/>
      <c r="BQ202" s="570"/>
      <c r="BR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M203" s="1645"/>
      <c r="AN203" s="1645"/>
      <c r="AO203" s="1645"/>
      <c r="AP203" s="1645"/>
      <c r="AQ203" s="1645"/>
      <c r="AR203" s="1645"/>
      <c r="AS203" s="1645"/>
      <c r="AT203" s="1645"/>
      <c r="AU203" s="1645"/>
      <c r="AW203" s="1164"/>
      <c r="AX203" s="1640"/>
      <c r="AY203" s="1640"/>
      <c r="AZ203" s="1164"/>
      <c r="BA203" s="1164"/>
      <c r="BB203" s="1164"/>
      <c r="BC203" s="1164"/>
      <c r="BD203" s="1640"/>
      <c r="BE203" s="1164"/>
      <c r="BF203" s="1164"/>
      <c r="BG203" s="548"/>
      <c r="BH203" s="1164"/>
      <c r="BI203" s="1164"/>
      <c r="BJ203" s="1164"/>
      <c r="BK203" s="1164"/>
      <c r="BL203" s="1164"/>
      <c r="BM203" s="1636"/>
      <c r="BN203" s="570"/>
      <c r="BO203" s="570"/>
      <c r="BP203" s="570"/>
      <c r="BQ203" s="570"/>
      <c r="BR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M204" s="1645"/>
      <c r="AN204" s="1645"/>
      <c r="AO204" s="1645"/>
      <c r="AP204" s="1645"/>
      <c r="AQ204" s="1645"/>
      <c r="AR204" s="1645"/>
      <c r="AS204" s="1645"/>
      <c r="AT204" s="1645"/>
      <c r="AU204" s="1645"/>
      <c r="AW204" s="1164"/>
      <c r="AX204" s="1640"/>
      <c r="AY204" s="1640"/>
      <c r="AZ204" s="1164"/>
      <c r="BA204" s="1164"/>
      <c r="BB204" s="1164"/>
      <c r="BC204" s="1164"/>
      <c r="BD204" s="1640"/>
      <c r="BE204" s="1164"/>
      <c r="BF204" s="1164"/>
      <c r="BG204" s="548"/>
      <c r="BH204" s="1164"/>
      <c r="BI204" s="1164"/>
      <c r="BJ204" s="1164"/>
      <c r="BK204" s="1164"/>
      <c r="BL204" s="1164"/>
      <c r="BM204" s="1636"/>
      <c r="BN204" s="570"/>
      <c r="BO204" s="570"/>
      <c r="BP204" s="570"/>
      <c r="BQ204" s="570"/>
      <c r="BR204" s="1645">
        <v>11</v>
      </c>
    </row>
    <row customHeight="1" ht="11.549999999999999">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BR205" s="1635">
        <v>11</v>
      </c>
    </row>
    <row customHeight="1" ht="11.549999999999999">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BR206" s="1635">
        <v>11</v>
      </c>
    </row>
    <row customHeight="1" ht="11.549999999999999">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BR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W208" s="1635"/>
      <c r="AZ208" s="1635"/>
      <c r="BA208" s="1635"/>
      <c r="BB208" s="1635"/>
      <c r="BC208" s="1635"/>
      <c r="BE208" s="1635"/>
      <c r="BF208" s="1635"/>
      <c r="BG208" s="1635"/>
      <c r="BH208" s="1635"/>
      <c r="BI208" s="1635"/>
      <c r="BJ208" s="1635"/>
      <c r="BK208" s="1635"/>
      <c r="BL208" s="1635"/>
      <c r="BM208" s="1635"/>
      <c r="BN208" s="1635"/>
      <c r="BO208" s="1635"/>
      <c r="BP208" s="1635"/>
      <c r="BQ208" s="1635"/>
      <c r="BR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W209" s="1635"/>
      <c r="AZ209" s="1635"/>
      <c r="BA209" s="1635"/>
      <c r="BB209" s="1635"/>
      <c r="BC209" s="1635"/>
      <c r="BE209" s="1635"/>
      <c r="BF209" s="1635"/>
      <c r="BG209" s="1635"/>
      <c r="BH209" s="1635"/>
      <c r="BI209" s="1635"/>
      <c r="BJ209" s="1635"/>
      <c r="BK209" s="1635"/>
      <c r="BL209" s="1635"/>
      <c r="BM209" s="1635"/>
      <c r="BN209" s="1635"/>
      <c r="BO209" s="1635"/>
      <c r="BP209" s="1635"/>
      <c r="BQ209" s="1635"/>
      <c r="BR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N210" s="1639"/>
      <c r="AO210" s="1639"/>
      <c r="AP210" s="1639"/>
      <c r="AQ210" s="1639"/>
      <c r="AR210" s="1639"/>
      <c r="AS210" s="1639"/>
      <c r="AT210" s="1639"/>
      <c r="AU210" s="1639"/>
      <c r="AW210" s="1635"/>
      <c r="AZ210" s="1635"/>
      <c r="BA210" s="1635"/>
      <c r="BB210" s="1635"/>
      <c r="BC210" s="1635"/>
      <c r="BE210" s="1635"/>
      <c r="BF210" s="1635"/>
      <c r="BG210" s="1635"/>
      <c r="BH210" s="1635"/>
      <c r="BI210" s="1635"/>
      <c r="BJ210" s="1635"/>
      <c r="BK210" s="1635"/>
      <c r="BL210" s="1635"/>
      <c r="BM210" s="1635"/>
      <c r="BN210" s="1635"/>
      <c r="BO210" s="1635"/>
      <c r="BP210" s="1635"/>
      <c r="BQ210" s="1635"/>
      <c r="BR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M211" s="1639"/>
      <c r="AN211" s="1639"/>
      <c r="AO211" s="1639"/>
      <c r="AP211" s="1639"/>
      <c r="AQ211" s="1639"/>
      <c r="AR211" s="1639"/>
      <c r="AS211" s="1639"/>
      <c r="AT211" s="1639"/>
      <c r="AU211" s="1639"/>
      <c r="AW211" s="1635"/>
      <c r="AZ211" s="1635"/>
      <c r="BA211" s="1635"/>
      <c r="BB211" s="1635"/>
      <c r="BC211" s="1635"/>
      <c r="BE211" s="1635"/>
      <c r="BF211" s="1635"/>
      <c r="BG211" s="1635"/>
      <c r="BH211" s="1635"/>
      <c r="BI211" s="1635"/>
      <c r="BJ211" s="1635"/>
      <c r="BK211" s="1635"/>
      <c r="BL211" s="1635"/>
      <c r="BM211" s="1635"/>
      <c r="BN211" s="1635"/>
      <c r="BO211" s="1635"/>
      <c r="BP211" s="1635"/>
      <c r="BQ211" s="1635"/>
      <c r="BR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M212" s="1639"/>
      <c r="AN212" s="1639"/>
      <c r="AO212" s="1639"/>
      <c r="AP212" s="1639"/>
      <c r="AQ212" s="1639"/>
      <c r="AR212" s="1639"/>
      <c r="AS212" s="1639"/>
      <c r="AT212" s="1639"/>
      <c r="AU212" s="1639"/>
      <c r="AW212" s="1635"/>
      <c r="AZ212" s="1635"/>
      <c r="BA212" s="1635"/>
      <c r="BB212" s="1635"/>
      <c r="BC212" s="1635"/>
      <c r="BE212" s="1635"/>
      <c r="BF212" s="1635"/>
      <c r="BG212" s="1635"/>
      <c r="BH212" s="1635"/>
      <c r="BI212" s="1635"/>
      <c r="BJ212" s="1635"/>
      <c r="BK212" s="1635"/>
      <c r="BL212" s="1635"/>
      <c r="BM212" s="1635"/>
      <c r="BN212" s="1635"/>
      <c r="BO212" s="1635"/>
      <c r="BP212" s="1635"/>
      <c r="BQ212" s="1635"/>
      <c r="BR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M213" s="1639"/>
      <c r="AN213" s="1639"/>
      <c r="AO213" s="1639"/>
      <c r="AP213" s="1639"/>
      <c r="AQ213" s="1639"/>
      <c r="AR213" s="1639"/>
      <c r="AS213" s="1639"/>
      <c r="AT213" s="1639"/>
      <c r="AU213" s="1639"/>
      <c r="AW213" s="1635"/>
      <c r="AZ213" s="1635"/>
      <c r="BA213" s="1635"/>
      <c r="BB213" s="1635"/>
      <c r="BC213" s="1635"/>
      <c r="BE213" s="1635"/>
      <c r="BF213" s="1635"/>
      <c r="BG213" s="1635"/>
      <c r="BH213" s="1635"/>
      <c r="BI213" s="1635"/>
      <c r="BJ213" s="1635"/>
      <c r="BK213" s="1635"/>
      <c r="BL213" s="1635"/>
      <c r="BM213" s="1635"/>
      <c r="BN213" s="1635"/>
      <c r="BO213" s="1635"/>
      <c r="BP213" s="1635"/>
      <c r="BQ213" s="1635"/>
      <c r="BR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M214" s="1639"/>
      <c r="AN214" s="1639"/>
      <c r="AO214" s="1639"/>
      <c r="AP214" s="1639"/>
      <c r="AQ214" s="1639"/>
      <c r="AR214" s="1639"/>
      <c r="AS214" s="1639"/>
      <c r="AT214" s="1639"/>
      <c r="AU214" s="1639"/>
      <c r="AW214" s="1635"/>
      <c r="AZ214" s="1635"/>
      <c r="BA214" s="1635"/>
      <c r="BB214" s="1635"/>
      <c r="BC214" s="1635"/>
      <c r="BE214" s="1635"/>
      <c r="BF214" s="1635"/>
      <c r="BG214" s="1635"/>
      <c r="BH214" s="1635"/>
      <c r="BI214" s="1635"/>
      <c r="BJ214" s="1635"/>
      <c r="BK214" s="1635"/>
      <c r="BL214" s="1635"/>
      <c r="BM214" s="1635"/>
      <c r="BN214" s="1635"/>
      <c r="BO214" s="1635"/>
      <c r="BP214" s="1635"/>
      <c r="BQ214" s="1635"/>
      <c r="BR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X215" s="1639"/>
      <c r="Y215" s="1639"/>
      <c r="Z215" s="1639"/>
      <c r="AA215" s="1639"/>
      <c r="AB215" s="1639"/>
      <c r="AC215" s="1639"/>
      <c r="AD215" s="1639"/>
      <c r="AE215" s="1639"/>
      <c r="AF215" s="1639"/>
      <c r="AG215" s="1639"/>
      <c r="AH215" s="1639"/>
      <c r="AI215" s="1639"/>
      <c r="AJ215" s="1639"/>
      <c r="AK215" s="1639"/>
      <c r="AL215" s="1639"/>
      <c r="AM215" s="1639"/>
      <c r="AN215" s="1639"/>
      <c r="AO215" s="1639"/>
      <c r="AP215" s="1639"/>
      <c r="AQ215" s="1639"/>
      <c r="AR215" s="1639"/>
      <c r="AS215" s="1639"/>
      <c r="AT215" s="1639"/>
      <c r="AU215" s="1639"/>
      <c r="AW215" s="1635"/>
      <c r="AZ215" s="1635"/>
      <c r="BA215" s="1635"/>
      <c r="BB215" s="1635"/>
      <c r="BC215" s="1635"/>
      <c r="BE215" s="1635"/>
      <c r="BF215" s="1635"/>
      <c r="BG215" s="1635"/>
      <c r="BH215" s="1635"/>
      <c r="BI215" s="1635"/>
      <c r="BJ215" s="1635"/>
      <c r="BK215" s="1635"/>
      <c r="BL215" s="1635"/>
      <c r="BM215" s="1635"/>
      <c r="BN215" s="1635"/>
      <c r="BO215" s="1635"/>
      <c r="BP215" s="1635"/>
      <c r="BQ215" s="1635"/>
      <c r="BR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X216" s="1639"/>
      <c r="Y216" s="1639"/>
      <c r="Z216" s="1639"/>
      <c r="AA216" s="1639"/>
      <c r="AB216" s="1639"/>
      <c r="AC216" s="1639"/>
      <c r="AD216" s="1639"/>
      <c r="AE216" s="1639"/>
      <c r="AF216" s="1639"/>
      <c r="AG216" s="1639"/>
      <c r="AH216" s="1639"/>
      <c r="AI216" s="1639"/>
      <c r="AJ216" s="1639"/>
      <c r="AK216" s="1639"/>
      <c r="AL216" s="1639"/>
      <c r="AM216" s="1639"/>
      <c r="AN216" s="1639"/>
      <c r="AO216" s="1639"/>
      <c r="AP216" s="1639"/>
      <c r="AQ216" s="1639"/>
      <c r="AR216" s="1639"/>
      <c r="AS216" s="1639"/>
      <c r="AT216" s="1639"/>
      <c r="AU216" s="1639"/>
      <c r="AW216" s="1635"/>
      <c r="AZ216" s="1635"/>
      <c r="BA216" s="1635"/>
      <c r="BB216" s="1635"/>
      <c r="BC216" s="1635"/>
      <c r="BE216" s="1635"/>
      <c r="BF216" s="1635"/>
      <c r="BG216" s="1635"/>
      <c r="BH216" s="1635"/>
      <c r="BI216" s="1635"/>
      <c r="BJ216" s="1635"/>
      <c r="BK216" s="1635"/>
      <c r="BL216" s="1635"/>
      <c r="BM216" s="1635"/>
      <c r="BN216" s="1635"/>
      <c r="BO216" s="1635"/>
      <c r="BP216" s="1635"/>
      <c r="BQ216" s="1635"/>
      <c r="BR216" s="1635">
        <v>11</v>
      </c>
    </row>
    <row customHeight="1" ht="11.549999999999999">
      <c r="A217" s="994"/>
      <c r="B217" s="1635"/>
      <c r="D217" s="1635"/>
      <c r="J217" s="1639"/>
      <c r="K217" s="1639"/>
      <c r="L217" s="1639"/>
      <c r="M217" s="1639"/>
      <c r="N217" s="1639"/>
      <c r="O217" s="1639"/>
      <c r="P217" s="1639"/>
      <c r="Q217" s="1639"/>
      <c r="R217" s="1639"/>
      <c r="S217" s="1639"/>
      <c r="T217" s="1639"/>
      <c r="U217" s="1639"/>
      <c r="V217" s="1639"/>
      <c r="W217" s="1639"/>
      <c r="X217" s="1639"/>
      <c r="Y217" s="1639"/>
      <c r="Z217" s="1639"/>
      <c r="AA217" s="1639"/>
      <c r="AB217" s="1639"/>
      <c r="AC217" s="1639"/>
      <c r="AD217" s="1639"/>
      <c r="AE217" s="1639"/>
      <c r="AF217" s="1639"/>
      <c r="AG217" s="1639"/>
      <c r="AH217" s="1639"/>
      <c r="AI217" s="1639"/>
      <c r="AJ217" s="1639"/>
      <c r="AK217" s="1639"/>
      <c r="AL217" s="1639"/>
      <c r="AM217" s="1639"/>
      <c r="AN217" s="1639"/>
      <c r="AO217" s="1639"/>
      <c r="AP217" s="1639"/>
      <c r="AQ217" s="1639"/>
      <c r="AR217" s="1639"/>
      <c r="AS217" s="1639"/>
      <c r="AT217" s="1639"/>
      <c r="AU217" s="1639"/>
      <c r="AW217" s="1635"/>
      <c r="AZ217" s="1635"/>
      <c r="BA217" s="1635"/>
      <c r="BB217" s="1635"/>
      <c r="BC217" s="1635"/>
      <c r="BE217" s="1635"/>
      <c r="BF217" s="1635"/>
      <c r="BG217" s="1635"/>
      <c r="BH217" s="1635"/>
      <c r="BI217" s="1635"/>
      <c r="BJ217" s="1635"/>
      <c r="BK217" s="1635"/>
      <c r="BL217" s="1635"/>
      <c r="BM217" s="1635"/>
      <c r="BN217" s="1635"/>
      <c r="BO217" s="1635"/>
      <c r="BP217" s="1635"/>
      <c r="BQ217" s="1635"/>
      <c r="BR217" s="1635">
        <v>11</v>
      </c>
    </row>
    <row customHeight="1" ht="11.549999999999999">
      <c r="A218" s="994"/>
      <c r="B218" s="1635"/>
      <c r="D218" s="1635"/>
      <c r="J218" s="1639"/>
      <c r="K218" s="1639"/>
      <c r="L218" s="1639"/>
      <c r="M218" s="1639"/>
      <c r="N218" s="1639"/>
      <c r="O218" s="1639"/>
      <c r="P218" s="1639"/>
      <c r="Q218" s="1639"/>
      <c r="R218" s="1639"/>
      <c r="S218" s="1639"/>
      <c r="T218" s="1639"/>
      <c r="U218" s="1639"/>
      <c r="V218" s="1639"/>
      <c r="W218" s="1639"/>
      <c r="X218" s="1639"/>
      <c r="Y218" s="1639"/>
      <c r="Z218" s="1639"/>
      <c r="AA218" s="1639"/>
      <c r="AB218" s="1639"/>
      <c r="AC218" s="1639"/>
      <c r="AD218" s="1639"/>
      <c r="AE218" s="1639"/>
      <c r="AF218" s="1639"/>
      <c r="AG218" s="1639"/>
      <c r="AH218" s="1639"/>
      <c r="AI218" s="1639"/>
      <c r="AJ218" s="1639"/>
      <c r="AK218" s="1639"/>
      <c r="AL218" s="1639"/>
      <c r="AM218" s="1639"/>
      <c r="AN218" s="1639"/>
      <c r="AO218" s="1639"/>
      <c r="AP218" s="1639"/>
      <c r="AQ218" s="1639"/>
      <c r="AR218" s="1639"/>
      <c r="AS218" s="1639"/>
      <c r="AT218" s="1639"/>
      <c r="AU218" s="1639"/>
      <c r="AW218" s="1635"/>
      <c r="AZ218" s="1635"/>
      <c r="BA218" s="1635"/>
      <c r="BB218" s="1635"/>
      <c r="BC218" s="1635"/>
      <c r="BE218" s="1635"/>
      <c r="BF218" s="1635"/>
      <c r="BG218" s="1635"/>
      <c r="BH218" s="1635"/>
      <c r="BI218" s="1635"/>
      <c r="BJ218" s="1635"/>
      <c r="BK218" s="1635"/>
      <c r="BL218" s="1635"/>
      <c r="BM218" s="1635"/>
      <c r="BN218" s="1635"/>
      <c r="BO218" s="1635"/>
      <c r="BP218" s="1635"/>
      <c r="BQ218" s="1635"/>
      <c r="BR218" s="1635">
        <v>11</v>
      </c>
    </row>
    <row customHeight="1" ht="11.25" hidden="1">
      <c r="A219" s="991" t="s">
        <v>81</v>
      </c>
      <c r="B219" s="1164">
        <v>0</v>
      </c>
      <c r="C219" s="1640">
        <v>0</v>
      </c>
      <c r="D219" s="1639">
        <v>3</v>
      </c>
      <c r="E219" s="1635">
        <v>7</v>
      </c>
      <c r="F219" s="1635">
        <v>56</v>
      </c>
      <c r="G219" s="1635">
        <v>10</v>
      </c>
      <c r="H219" s="1635">
        <v>0</v>
      </c>
      <c r="I219" s="1635">
        <v>40</v>
      </c>
      <c r="J219" s="1639">
        <v>0</v>
      </c>
      <c r="K219" s="1639">
        <v>0</v>
      </c>
      <c r="L219" s="1639">
        <v>0</v>
      </c>
      <c r="M219" s="1639">
        <v>0</v>
      </c>
      <c r="N219" s="1639">
        <v>0</v>
      </c>
      <c r="O219" s="1639">
        <v>0</v>
      </c>
      <c r="P219" s="1639">
        <v>0</v>
      </c>
      <c r="Q219" s="1639">
        <v>0</v>
      </c>
      <c r="R219" s="1639">
        <v>0</v>
      </c>
      <c r="S219" s="1639">
        <v>0</v>
      </c>
      <c r="T219" s="1639">
        <v>0</v>
      </c>
      <c r="U219" s="1639">
        <v>0</v>
      </c>
      <c r="V219" s="1639">
        <v>0</v>
      </c>
      <c r="W219" s="1639">
        <v>0</v>
      </c>
      <c r="X219" s="1639">
        <v>0</v>
      </c>
      <c r="Y219" s="1639">
        <v>0</v>
      </c>
      <c r="Z219" s="1639">
        <v>0</v>
      </c>
      <c r="AA219" s="1639">
        <v>0</v>
      </c>
      <c r="AB219" s="1639">
        <v>0</v>
      </c>
      <c r="AC219" s="1639">
        <v>0</v>
      </c>
      <c r="AD219" s="1639">
        <v>0</v>
      </c>
      <c r="AE219" s="1639">
        <v>0</v>
      </c>
      <c r="AF219" s="1639">
        <v>0</v>
      </c>
      <c r="AG219" s="1639">
        <v>0</v>
      </c>
      <c r="AH219" s="1639">
        <v>0</v>
      </c>
      <c r="AI219" s="1639">
        <v>0</v>
      </c>
      <c r="AJ219" s="1639">
        <v>0</v>
      </c>
      <c r="AK219" s="1639">
        <v>0</v>
      </c>
      <c r="AL219" s="1639">
        <v>0</v>
      </c>
      <c r="AM219" s="1639">
        <v>0</v>
      </c>
      <c r="AN219" s="1639">
        <v>0</v>
      </c>
      <c r="AO219" s="1639">
        <v>0</v>
      </c>
      <c r="AP219" s="1639">
        <v>0</v>
      </c>
      <c r="AQ219" s="1639">
        <v>0</v>
      </c>
      <c r="AR219" s="1639">
        <v>0</v>
      </c>
      <c r="AS219" s="1639">
        <v>0</v>
      </c>
      <c r="AT219" s="1639">
        <v>0</v>
      </c>
      <c r="AU219" s="1639">
        <v>0</v>
      </c>
      <c r="AV219" s="1635">
        <v>102</v>
      </c>
      <c r="AW219" s="1164">
        <v>9</v>
      </c>
      <c r="AX219" s="1640">
        <v>5</v>
      </c>
      <c r="AY219" s="1640">
        <v>3</v>
      </c>
      <c r="AZ219" s="1164">
        <v>3</v>
      </c>
      <c r="BA219" s="1164">
        <v>3</v>
      </c>
      <c r="BB219" s="1164">
        <v>3</v>
      </c>
      <c r="BC219" s="1164">
        <v>3</v>
      </c>
      <c r="BD219" s="1640">
        <v>10</v>
      </c>
      <c r="BE219" s="1164">
        <v>34</v>
      </c>
      <c r="BF219" s="1164">
        <v>9</v>
      </c>
      <c r="BG219" s="548">
        <v>8</v>
      </c>
      <c r="BH219" s="1164">
        <v>8</v>
      </c>
      <c r="BI219" s="1164">
        <v>8</v>
      </c>
      <c r="BJ219" s="1164">
        <v>8</v>
      </c>
      <c r="BK219" s="1164">
        <v>8</v>
      </c>
      <c r="BL219" s="1164">
        <v>8</v>
      </c>
      <c r="BM219" s="1636">
        <v>8</v>
      </c>
      <c r="BN219" s="1636">
        <v>8</v>
      </c>
      <c r="BO219" s="1636">
        <v>8</v>
      </c>
      <c r="BP219" s="1636">
        <v>8</v>
      </c>
      <c r="BQ219" s="1636">
        <v>8</v>
      </c>
      <c r="BR219" s="1635">
        <v>11</v>
      </c>
    </row>
  </sheetData>
  <sheetProtection formatColumns="0" formatRows="0" autoFilter="0" sort="0" insertRows="0" insertColumns="1" deleteRows="0" deleteColumns="0"/>
  <mergeCells count="7">
    <mergeCell ref="E6:I6"/>
    <mergeCell ref="E7:I7"/>
    <mergeCell ref="F10:G10"/>
    <mergeCell ref="AV10:AV14"/>
    <mergeCell ref="F11:G11"/>
    <mergeCell ref="F12:G12"/>
    <mergeCell ref="E13:G13"/>
  </mergeCells>
  <dataValidations count="5">
    <dataValidation type="decimal" allowBlank="1" showErrorMessage="1" errorTitle="Ошибка" error="Допускается ввод только действительных чисел!" sqref="H42:AU44">
      <formula1>-9.99999999999999E+37</formula1>
      <formula2>9.99999999999999E+37</formula2>
    </dataValidation>
    <dataValidation type="decimal" allowBlank="1" showErrorMessage="1" errorTitle="Ошибка" error="Допускается ввод только действительных чисел!" sqref="H38:AU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U45">
      <formula1>900</formula1>
    </dataValidation>
    <dataValidation type="decimal" allowBlank="1" showErrorMessage="1" errorTitle="Ошибка" error="Допускается ввод только неотрицательных чисел!" sqref="H40:AU41 H2:AU2 H15:AU15 H17:AU32 H46:AU48 H35:A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U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2565A-0F88-12B8-7448-93F268E44F08}" mc:Ignorable="x14ac xr xr2 xr3">
  <sheetPr>
    <tabColor theme="9" tint="-0.25"/>
  </sheetPr>
  <dimension ref="A1:BR215"/>
  <sheetViews>
    <sheetView showGridLines="0" zoomScale="90" workbookViewId="0">
      <pane xSplit="8" ySplit="14" topLeftCell="AX15" activePane="bottomRight" state="frozen"/>
      <selection pane="bottomLeft" activeCell="A15" sqref="A15"/>
      <selection pane="topRight" activeCell="I1" sqref="I1"/>
      <selection pane="bottomRight" activeCell="AX9" sqref="AX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47" style="1639" width="40.7109375" customWidth="1"/>
    <col min="48" max="48" style="1639" width="102.00390625" customWidth="1"/>
    <col min="49" max="49" style="1370" width="9.00390625" customWidth="1"/>
    <col min="50" max="50" style="1646" width="5.00390625" customWidth="1"/>
    <col min="51" max="51" style="1646" width="3.00390625" customWidth="1"/>
    <col min="52" max="55" style="1370" width="3.00390625" customWidth="1"/>
    <col min="56" max="56" style="1646" width="10.00390625" customWidth="1"/>
    <col min="57" max="57" style="1370" width="34.00390625" customWidth="1"/>
    <col min="58" max="58" style="1370" width="9.00390625" customWidth="1"/>
    <col min="59" max="59" style="740" width="8.00390625" customWidth="1"/>
    <col min="60" max="64" style="1370" width="8.00390625" customWidth="1"/>
    <col min="65" max="69" style="1636" width="8.00390625" customWidth="1"/>
    <col min="70" max="70"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t="s">
        <v>89</v>
      </c>
      <c r="AO1" s="1370" t="s">
        <v>89</v>
      </c>
      <c r="AP1" s="1370" t="s">
        <v>102</v>
      </c>
      <c r="AQ1" s="1370" t="s">
        <v>105</v>
      </c>
      <c r="AR1" s="1370" t="s">
        <v>105</v>
      </c>
      <c r="AS1" s="1370" t="s">
        <v>105</v>
      </c>
      <c r="AT1" s="1370" t="s">
        <v>105</v>
      </c>
      <c r="AU1" s="1370" t="s">
        <v>105</v>
      </c>
      <c r="AX1" s="1640"/>
      <c r="AY1" s="1640"/>
      <c r="BD1" s="1640"/>
      <c r="BR1" s="1164" t="s">
        <v>14</v>
      </c>
    </row>
    <row s="1370" customFormat="1" customHeight="1" ht="22.5" hidden="1">
      <c r="A2" s="991"/>
      <c r="C2" s="1640"/>
      <c r="D2" s="542"/>
      <c r="E2" s="1662"/>
      <c r="F2" s="544"/>
      <c r="G2" s="1661" t="s">
        <v>690</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546" t="s">
        <v>693</v>
      </c>
      <c r="AW2" s="547"/>
      <c r="AX2" s="1640"/>
      <c r="AY2" s="1640"/>
      <c r="BD2" s="1640"/>
      <c r="BG2" s="548"/>
      <c r="BM2" s="1636"/>
      <c r="BN2" s="1636"/>
      <c r="BO2" s="1636"/>
      <c r="BP2" s="1636"/>
      <c r="BQ2" s="1636"/>
      <c r="BR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BR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v>4</v>
      </c>
      <c r="AW4" s="1164"/>
      <c r="AX4" s="1640"/>
      <c r="AY4" s="1640"/>
      <c r="AZ4" s="1164"/>
      <c r="BA4" s="1164"/>
      <c r="BB4" s="1164"/>
      <c r="BC4" s="1164"/>
      <c r="BD4" s="1640"/>
      <c r="BE4" s="1164"/>
      <c r="BF4" s="1164"/>
      <c r="BG4" s="548"/>
      <c r="BH4" s="1164"/>
      <c r="BI4" s="1164"/>
      <c r="BJ4" s="1164"/>
      <c r="BK4" s="1164"/>
      <c r="BL4" s="1164"/>
      <c r="BR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BR5" s="1635">
        <v>11</v>
      </c>
    </row>
    <row customHeight="1" ht="33.75">
      <c r="E6" s="2265" t="s">
        <v>963</v>
      </c>
      <c r="F6" s="2265"/>
      <c r="G6" s="2265"/>
      <c r="H6" s="2265"/>
      <c r="I6" s="2265"/>
      <c r="J6" s="2265"/>
      <c r="K6" s="2265"/>
      <c r="L6" s="2265"/>
      <c r="M6" s="2265"/>
      <c r="N6" s="2265"/>
      <c r="O6" s="2265"/>
      <c r="P6" s="2265"/>
      <c r="Q6" s="2265"/>
      <c r="R6" s="2265"/>
      <c r="S6" s="2265"/>
      <c r="T6" s="2265"/>
      <c r="U6" s="2265"/>
      <c r="V6" s="2265"/>
      <c r="W6" s="2265"/>
      <c r="X6" s="2265"/>
      <c r="Y6" s="2265"/>
      <c r="Z6" s="2265"/>
      <c r="AA6" s="2265"/>
      <c r="AB6" s="2265"/>
      <c r="AC6" s="2265"/>
      <c r="AD6" s="2265"/>
      <c r="AE6" s="2265"/>
      <c r="AF6" s="2265"/>
      <c r="AG6" s="2265"/>
      <c r="AH6" s="2265"/>
      <c r="AI6" s="2265"/>
      <c r="AJ6" s="2265"/>
      <c r="AK6" s="2265"/>
      <c r="AL6" s="2265"/>
      <c r="AM6" s="2265"/>
      <c r="AN6" s="2265"/>
      <c r="AO6" s="2265"/>
      <c r="AP6" s="2265"/>
      <c r="AQ6" s="2265"/>
      <c r="AR6" s="2265"/>
      <c r="AS6" s="2265"/>
      <c r="AT6" s="2265"/>
      <c r="AU6" s="2265"/>
      <c r="AV6" s="560"/>
      <c r="BR6" s="1635">
        <v>32</v>
      </c>
    </row>
    <row customHeight="1" ht="25.2">
      <c r="E7" s="2266" t="str">
        <f>IF(org=0,"Не определено",org)</f>
        <v>КГУП "Примтеплоэнерго"</v>
      </c>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c r="AG7" s="2266"/>
      <c r="AH7" s="2266"/>
      <c r="AI7" s="2266"/>
      <c r="AJ7" s="2266"/>
      <c r="AK7" s="2266"/>
      <c r="AL7" s="2266"/>
      <c r="AM7" s="2266"/>
      <c r="AN7" s="2266"/>
      <c r="AO7" s="2266"/>
      <c r="AP7" s="2266"/>
      <c r="AQ7" s="2266"/>
      <c r="AR7" s="2266"/>
      <c r="AS7" s="2266"/>
      <c r="AT7" s="2266"/>
      <c r="AU7" s="2266"/>
      <c r="BR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BR8" s="1635">
        <v>11</v>
      </c>
    </row>
    <row s="1646" customFormat="1" customHeight="1" ht="1.05">
      <c r="A9" s="1171"/>
      <c r="D9" s="1646"/>
      <c r="H9" s="893"/>
      <c r="I9" s="893" t="s">
        <v>182</v>
      </c>
      <c r="J9" s="893" t="s">
        <v>238</v>
      </c>
      <c r="K9" s="893" t="s">
        <v>250</v>
      </c>
      <c r="L9" s="893" t="s">
        <v>253</v>
      </c>
      <c r="M9" s="893" t="s">
        <v>186</v>
      </c>
      <c r="N9" s="893" t="s">
        <v>188</v>
      </c>
      <c r="O9" s="893" t="s">
        <v>190</v>
      </c>
      <c r="P9" s="893" t="s">
        <v>192</v>
      </c>
      <c r="Q9" s="893" t="s">
        <v>194</v>
      </c>
      <c r="R9" s="893" t="s">
        <v>196</v>
      </c>
      <c r="S9" s="893" t="s">
        <v>198</v>
      </c>
      <c r="T9" s="893" t="s">
        <v>201</v>
      </c>
      <c r="U9" s="893" t="s">
        <v>203</v>
      </c>
      <c r="V9" s="893" t="s">
        <v>207</v>
      </c>
      <c r="W9" s="893" t="s">
        <v>211</v>
      </c>
      <c r="X9" s="893" t="s">
        <v>213</v>
      </c>
      <c r="Y9" s="893" t="s">
        <v>215</v>
      </c>
      <c r="Z9" s="893" t="s">
        <v>217</v>
      </c>
      <c r="AA9" s="893" t="s">
        <v>225</v>
      </c>
      <c r="AB9" s="893" t="s">
        <v>229</v>
      </c>
      <c r="AC9" s="893" t="s">
        <v>231</v>
      </c>
      <c r="AD9" s="893" t="s">
        <v>235</v>
      </c>
      <c r="AE9" s="893" t="s">
        <v>205</v>
      </c>
      <c r="AF9" s="893" t="s">
        <v>209</v>
      </c>
      <c r="AG9" s="893" t="s">
        <v>219</v>
      </c>
      <c r="AH9" s="893" t="s">
        <v>221</v>
      </c>
      <c r="AI9" s="893" t="s">
        <v>223</v>
      </c>
      <c r="AJ9" s="893" t="s">
        <v>227</v>
      </c>
      <c r="AK9" s="893" t="s">
        <v>233</v>
      </c>
      <c r="AL9" s="893" t="s">
        <v>240</v>
      </c>
      <c r="AM9" s="893" t="s">
        <v>242</v>
      </c>
      <c r="AN9" s="893" t="s">
        <v>244</v>
      </c>
      <c r="AO9" s="893" t="s">
        <v>246</v>
      </c>
      <c r="AP9" s="893" t="s">
        <v>248</v>
      </c>
      <c r="AQ9" s="893" t="s">
        <v>256</v>
      </c>
      <c r="AR9" s="893" t="s">
        <v>258</v>
      </c>
      <c r="AS9" s="893" t="s">
        <v>260</v>
      </c>
      <c r="AT9" s="893" t="s">
        <v>262</v>
      </c>
      <c r="AU9" s="893" t="s">
        <v>264</v>
      </c>
      <c r="BR9" s="1640">
        <v>1</v>
      </c>
    </row>
    <row customHeight="1" ht="11.549999999999999">
      <c r="E10" s="715"/>
      <c r="F10" s="2384" t="s">
        <v>173</v>
      </c>
      <c r="G10" s="2385"/>
      <c r="H10" s="1663" t="str">
        <f>IF(H9="","",INDEX(DIFFERENTIATION_UNMERGE_VD,MATCH(H9,DIFFERENTIATION_ID_DIFF,0)))</f>
        <v/>
      </c>
      <c r="I10" s="1663" t="str">
        <f>IF(I9="","",INDEX(DIFFERENTIATION_UNMERGE_VD,MATCH(I9,DIFFERENTIATION_ID_DIFF,0)))</f>
        <v>Холодное водоснабжение. Питьевая вода</v>
      </c>
      <c r="J10" s="2410" t="str">
        <f>IF(J9="","",INDEX(DIFFERENTIATION_UNMERGE_VD,MATCH(J9,DIFFERENTIATION_ID_DIFF,0)))</f>
        <v>Подключение (технологическое присоединение) к централизованной системе водоснабжения</v>
      </c>
      <c r="K10" s="2410" t="str">
        <f>IF(K9="","",INDEX(DIFFERENTIATION_UNMERGE_VD,MATCH(K9,DIFFERENTIATION_ID_DIFF,0)))</f>
        <v>Холодное водоснабжение. Техническая вода</v>
      </c>
      <c r="L10" s="2410" t="str">
        <f>IF(L9="","",INDEX(DIFFERENTIATION_UNMERGE_VD,MATCH(L9,DIFFERENTIATION_ID_DIFF,0)))</f>
        <v>Холодное водоснабжение. Подвозная вода</v>
      </c>
      <c r="M10" s="2410" t="str">
        <f>IF(M9="","",INDEX(DIFFERENTIATION_UNMERGE_VD,MATCH(M9,DIFFERENTIATION_ID_DIFF,0)))</f>
        <v>Холодное водоснабжение. Питьевая вода</v>
      </c>
      <c r="N10" s="2410" t="str">
        <f>IF(N9="","",INDEX(DIFFERENTIATION_UNMERGE_VD,MATCH(N9,DIFFERENTIATION_ID_DIFF,0)))</f>
        <v>Холодное водоснабжение. Питьевая вода</v>
      </c>
      <c r="O10" s="2410" t="str">
        <f>IF(O9="","",INDEX(DIFFERENTIATION_UNMERGE_VD,MATCH(O9,DIFFERENTIATION_ID_DIFF,0)))</f>
        <v>Холодное водоснабжение. Питьевая вода</v>
      </c>
      <c r="P10" s="2410" t="str">
        <f>IF(P9="","",INDEX(DIFFERENTIATION_UNMERGE_VD,MATCH(P9,DIFFERENTIATION_ID_DIFF,0)))</f>
        <v>Холодное водоснабжение. Питьевая вода</v>
      </c>
      <c r="Q10" s="2410" t="str">
        <f>IF(Q9="","",INDEX(DIFFERENTIATION_UNMERGE_VD,MATCH(Q9,DIFFERENTIATION_ID_DIFF,0)))</f>
        <v>Холодное водоснабжение. Питьевая вода</v>
      </c>
      <c r="R10" s="2410" t="str">
        <f>IF(R9="","",INDEX(DIFFERENTIATION_UNMERGE_VD,MATCH(R9,DIFFERENTIATION_ID_DIFF,0)))</f>
        <v>Холодное водоснабжение. Питьевая вода</v>
      </c>
      <c r="S10" s="2410" t="str">
        <f>IF(S9="","",INDEX(DIFFERENTIATION_UNMERGE_VD,MATCH(S9,DIFFERENTIATION_ID_DIFF,0)))</f>
        <v>Холодное водоснабжение. Питьевая вода</v>
      </c>
      <c r="T10" s="2410" t="str">
        <f>IF(T9="","",INDEX(DIFFERENTIATION_UNMERGE_VD,MATCH(T9,DIFFERENTIATION_ID_DIFF,0)))</f>
        <v>Холодное водоснабжение. Питьевая вода</v>
      </c>
      <c r="U10" s="2410" t="str">
        <f>IF(U9="","",INDEX(DIFFERENTIATION_UNMERGE_VD,MATCH(U9,DIFFERENTIATION_ID_DIFF,0)))</f>
        <v>Холодное водоснабжение. Питьевая вода</v>
      </c>
      <c r="V10" s="2410" t="str">
        <f>IF(V9="","",INDEX(DIFFERENTIATION_UNMERGE_VD,MATCH(V9,DIFFERENTIATION_ID_DIFF,0)))</f>
        <v>Холодное водоснабжение. Питьевая вода</v>
      </c>
      <c r="W10" s="2410" t="str">
        <f>IF(W9="","",INDEX(DIFFERENTIATION_UNMERGE_VD,MATCH(W9,DIFFERENTIATION_ID_DIFF,0)))</f>
        <v>Холодное водоснабжение. Питьевая вода</v>
      </c>
      <c r="X10" s="2410" t="str">
        <f>IF(X9="","",INDEX(DIFFERENTIATION_UNMERGE_VD,MATCH(X9,DIFFERENTIATION_ID_DIFF,0)))</f>
        <v>Холодное водоснабжение. Питьевая вода</v>
      </c>
      <c r="Y10" s="2410" t="str">
        <f>IF(Y9="","",INDEX(DIFFERENTIATION_UNMERGE_VD,MATCH(Y9,DIFFERENTIATION_ID_DIFF,0)))</f>
        <v>Холодное водоснабжение. Питьевая вода</v>
      </c>
      <c r="Z10" s="2410" t="str">
        <f>IF(Z9="","",INDEX(DIFFERENTIATION_UNMERGE_VD,MATCH(Z9,DIFFERENTIATION_ID_DIFF,0)))</f>
        <v>Холодное водоснабжение. Питьевая вода</v>
      </c>
      <c r="AA10" s="2410" t="str">
        <f>IF(AA9="","",INDEX(DIFFERENTIATION_UNMERGE_VD,MATCH(AA9,DIFFERENTIATION_ID_DIFF,0)))</f>
        <v>Холодное водоснабжение. Питьевая вода</v>
      </c>
      <c r="AB10" s="2410" t="str">
        <f>IF(AB9="","",INDEX(DIFFERENTIATION_UNMERGE_VD,MATCH(AB9,DIFFERENTIATION_ID_DIFF,0)))</f>
        <v>Холодное водоснабжение. Питьевая вода</v>
      </c>
      <c r="AC10" s="2410" t="str">
        <f>IF(AC9="","",INDEX(DIFFERENTIATION_UNMERGE_VD,MATCH(AC9,DIFFERENTIATION_ID_DIFF,0)))</f>
        <v>Холодное водоснабжение. Питьевая вода</v>
      </c>
      <c r="AD10" s="2410" t="str">
        <f>IF(AD9="","",INDEX(DIFFERENTIATION_UNMERGE_VD,MATCH(AD9,DIFFERENTIATION_ID_DIFF,0)))</f>
        <v>Холодное водоснабжение. Питьевая вода</v>
      </c>
      <c r="AE10" s="2410" t="str">
        <f>IF(AE9="","",INDEX(DIFFERENTIATION_UNMERGE_VD,MATCH(AE9,DIFFERENTIATION_ID_DIFF,0)))</f>
        <v>Холодное водоснабжение. Питьевая вода</v>
      </c>
      <c r="AF10" s="2410" t="str">
        <f>IF(AF9="","",INDEX(DIFFERENTIATION_UNMERGE_VD,MATCH(AF9,DIFFERENTIATION_ID_DIFF,0)))</f>
        <v>Холодное водоснабжение. Питьевая вода</v>
      </c>
      <c r="AG10" s="2410" t="str">
        <f>IF(AG9="","",INDEX(DIFFERENTIATION_UNMERGE_VD,MATCH(AG9,DIFFERENTIATION_ID_DIFF,0)))</f>
        <v>Холодное водоснабжение. Питьевая вода</v>
      </c>
      <c r="AH10" s="2410" t="str">
        <f>IF(AH9="","",INDEX(DIFFERENTIATION_UNMERGE_VD,MATCH(AH9,DIFFERENTIATION_ID_DIFF,0)))</f>
        <v>Холодное водоснабжение. Питьевая вода</v>
      </c>
      <c r="AI10" s="2410" t="str">
        <f>IF(AI9="","",INDEX(DIFFERENTIATION_UNMERGE_VD,MATCH(AI9,DIFFERENTIATION_ID_DIFF,0)))</f>
        <v>Холодное водоснабжение. Питьевая вода</v>
      </c>
      <c r="AJ10" s="2410" t="str">
        <f>IF(AJ9="","",INDEX(DIFFERENTIATION_UNMERGE_VD,MATCH(AJ9,DIFFERENTIATION_ID_DIFF,0)))</f>
        <v>Холодное водоснабжение. Питьевая вода</v>
      </c>
      <c r="AK10" s="2410" t="str">
        <f>IF(AK9="","",INDEX(DIFFERENTIATION_UNMERGE_VD,MATCH(AK9,DIFFERENTIATION_ID_DIFF,0)))</f>
        <v>Холодное водоснабжение. Питьевая вода</v>
      </c>
      <c r="AL10" s="2410" t="str">
        <f>IF(AL9="","",INDEX(DIFFERENTIATION_UNMERGE_VD,MATCH(AL9,DIFFERENTIATION_ID_DIFF,0)))</f>
        <v>Подключение (технологическое присоединение) к централизованной системе водоснабжения</v>
      </c>
      <c r="AM10" s="2410" t="str">
        <f>IF(AM9="","",INDEX(DIFFERENTIATION_UNMERGE_VD,MATCH(AM9,DIFFERENTIATION_ID_DIFF,0)))</f>
        <v>Подключение (технологическое присоединение) к централизованной системе водоснабжения</v>
      </c>
      <c r="AN10" s="2410" t="str">
        <f>IF(AN9="","",INDEX(DIFFERENTIATION_UNMERGE_VD,MATCH(AN9,DIFFERENTIATION_ID_DIFF,0)))</f>
        <v>Подключение (технологическое присоединение) к централизованной системе водоснабжения</v>
      </c>
      <c r="AO10" s="2410" t="str">
        <f>IF(AO9="","",INDEX(DIFFERENTIATION_UNMERGE_VD,MATCH(AO9,DIFFERENTIATION_ID_DIFF,0)))</f>
        <v>Подключение (технологическое присоединение) к централизованной системе водоснабжения</v>
      </c>
      <c r="AP10" s="2410" t="str">
        <f>IF(AP9="","",INDEX(DIFFERENTIATION_UNMERGE_VD,MATCH(AP9,DIFFERENTIATION_ID_DIFF,0)))</f>
        <v>Подключение (технологическое присоединение) к централизованной системе водоснабжения</v>
      </c>
      <c r="AQ10" s="2410" t="str">
        <f>IF(AQ9="","",INDEX(DIFFERENTIATION_UNMERGE_VD,MATCH(AQ9,DIFFERENTIATION_ID_DIFF,0)))</f>
        <v>Холодное водоснабжение. Подвозная вода</v>
      </c>
      <c r="AR10" s="2410" t="str">
        <f>IF(AR9="","",INDEX(DIFFERENTIATION_UNMERGE_VD,MATCH(AR9,DIFFERENTIATION_ID_DIFF,0)))</f>
        <v>Холодное водоснабжение. Подвозная вода</v>
      </c>
      <c r="AS10" s="2410" t="str">
        <f>IF(AS9="","",INDEX(DIFFERENTIATION_UNMERGE_VD,MATCH(AS9,DIFFERENTIATION_ID_DIFF,0)))</f>
        <v>Холодное водоснабжение. Подвозная вода</v>
      </c>
      <c r="AT10" s="2410" t="str">
        <f>IF(AT9="","",INDEX(DIFFERENTIATION_UNMERGE_VD,MATCH(AT9,DIFFERENTIATION_ID_DIFF,0)))</f>
        <v>Холодное водоснабжение. Подвозная вода</v>
      </c>
      <c r="AU10" s="2410" t="str">
        <f>IF(AU9="","",INDEX(DIFFERENTIATION_UNMERGE_VD,MATCH(AU9,DIFFERENTIATION_ID_DIFF,0)))</f>
        <v>Холодное водоснабжение. Подвозная вода</v>
      </c>
      <c r="AV10" s="2144" t="s">
        <v>439</v>
      </c>
      <c r="BR10" s="1635">
        <v>11</v>
      </c>
    </row>
    <row customHeight="1" ht="11.549999999999999">
      <c r="E11" s="715"/>
      <c r="F11" s="2384" t="s">
        <v>702</v>
      </c>
      <c r="G11" s="2385"/>
      <c r="H11" s="1663" t="str">
        <f>IF(H9="","",INDEX(DIFFERENTIATION_UNMERGE_AREA,MATCH(H9,DIFFERENTIATION_ID_DIFF,0)))</f>
        <v/>
      </c>
      <c r="I11" s="1663" t="str">
        <f>IF(I9="","",INDEX(DIFFERENTIATION_UNMERGE_AREA,MATCH(I9,DIFFERENTIATION_ID_DIFF,0)))</f>
        <v>Территория 1</v>
      </c>
      <c r="J11" s="2410" t="str">
        <f>IF(J9="","",INDEX(DIFFERENTIATION_UNMERGE_AREA,MATCH(J9,DIFFERENTIATION_ID_DIFF,0)))</f>
        <v>Территория 8</v>
      </c>
      <c r="K11" s="2410" t="str">
        <f>IF(K9="","",INDEX(DIFFERENTIATION_UNMERGE_AREA,MATCH(K9,DIFFERENTIATION_ID_DIFF,0)))</f>
        <v>Территория 9</v>
      </c>
      <c r="L11" s="2410" t="str">
        <f>IF(L9="","",INDEX(DIFFERENTIATION_UNMERGE_AREA,MATCH(L9,DIFFERENTIATION_ID_DIFF,0)))</f>
        <v>Территория 2</v>
      </c>
      <c r="M11" s="2410" t="str">
        <f>IF(M9="","",INDEX(DIFFERENTIATION_UNMERGE_AREA,MATCH(M9,DIFFERENTIATION_ID_DIFF,0)))</f>
        <v>Территория 1</v>
      </c>
      <c r="N11" s="2410" t="str">
        <f>IF(N9="","",INDEX(DIFFERENTIATION_UNMERGE_AREA,MATCH(N9,DIFFERENTIATION_ID_DIFF,0)))</f>
        <v>Территория 1</v>
      </c>
      <c r="O11" s="2410" t="str">
        <f>IF(O9="","",INDEX(DIFFERENTIATION_UNMERGE_AREA,MATCH(O9,DIFFERENTIATION_ID_DIFF,0)))</f>
        <v>Территория 1</v>
      </c>
      <c r="P11" s="2410" t="str">
        <f>IF(P9="","",INDEX(DIFFERENTIATION_UNMERGE_AREA,MATCH(P9,DIFFERENTIATION_ID_DIFF,0)))</f>
        <v>Территория 1</v>
      </c>
      <c r="Q11" s="2410" t="str">
        <f>IF(Q9="","",INDEX(DIFFERENTIATION_UNMERGE_AREA,MATCH(Q9,DIFFERENTIATION_ID_DIFF,0)))</f>
        <v>Территория 1</v>
      </c>
      <c r="R11" s="2410" t="str">
        <f>IF(R9="","",INDEX(DIFFERENTIATION_UNMERGE_AREA,MATCH(R9,DIFFERENTIATION_ID_DIFF,0)))</f>
        <v>Территория 1</v>
      </c>
      <c r="S11" s="2410" t="str">
        <f>IF(S9="","",INDEX(DIFFERENTIATION_UNMERGE_AREA,MATCH(S9,DIFFERENTIATION_ID_DIFF,0)))</f>
        <v>Территория 1</v>
      </c>
      <c r="T11" s="2410" t="str">
        <f>IF(T9="","",INDEX(DIFFERENTIATION_UNMERGE_AREA,MATCH(T9,DIFFERENTIATION_ID_DIFF,0)))</f>
        <v>Территория 2</v>
      </c>
      <c r="U11" s="2410" t="str">
        <f>IF(U9="","",INDEX(DIFFERENTIATION_UNMERGE_AREA,MATCH(U9,DIFFERENTIATION_ID_DIFF,0)))</f>
        <v>Территория 3</v>
      </c>
      <c r="V11" s="2410" t="str">
        <f>IF(V9="","",INDEX(DIFFERENTIATION_UNMERGE_AREA,MATCH(V9,DIFFERENTIATION_ID_DIFF,0)))</f>
        <v>Территория 4</v>
      </c>
      <c r="W11" s="2410" t="str">
        <f>IF(W9="","",INDEX(DIFFERENTIATION_UNMERGE_AREA,MATCH(W9,DIFFERENTIATION_ID_DIFF,0)))</f>
        <v>Территория 5</v>
      </c>
      <c r="X11" s="2410" t="str">
        <f>IF(X9="","",INDEX(DIFFERENTIATION_UNMERGE_AREA,MATCH(X9,DIFFERENTIATION_ID_DIFF,0)))</f>
        <v>Территория 6</v>
      </c>
      <c r="Y11" s="2410" t="str">
        <f>IF(Y9="","",INDEX(DIFFERENTIATION_UNMERGE_AREA,MATCH(Y9,DIFFERENTIATION_ID_DIFF,0)))</f>
        <v>Территория 7</v>
      </c>
      <c r="Z11" s="2410" t="str">
        <f>IF(Z9="","",INDEX(DIFFERENTIATION_UNMERGE_AREA,MATCH(Z9,DIFFERENTIATION_ID_DIFF,0)))</f>
        <v>Территория 8</v>
      </c>
      <c r="AA11" s="2410" t="str">
        <f>IF(AA9="","",INDEX(DIFFERENTIATION_UNMERGE_AREA,MATCH(AA9,DIFFERENTIATION_ID_DIFF,0)))</f>
        <v>Территория 9</v>
      </c>
      <c r="AB11" s="2410" t="str">
        <f>IF(AB9="","",INDEX(DIFFERENTIATION_UNMERGE_AREA,MATCH(AB9,DIFFERENTIATION_ID_DIFF,0)))</f>
        <v>Территория 10</v>
      </c>
      <c r="AC11" s="2410" t="str">
        <f>IF(AC9="","",INDEX(DIFFERENTIATION_UNMERGE_AREA,MATCH(AC9,DIFFERENTIATION_ID_DIFF,0)))</f>
        <v>Территория 11</v>
      </c>
      <c r="AD11" s="2410" t="str">
        <f>IF(AD9="","",INDEX(DIFFERENTIATION_UNMERGE_AREA,MATCH(AD9,DIFFERENTIATION_ID_DIFF,0)))</f>
        <v>Территория 12</v>
      </c>
      <c r="AE11" s="2410" t="str">
        <f>IF(AE9="","",INDEX(DIFFERENTIATION_UNMERGE_AREA,MATCH(AE9,DIFFERENTIATION_ID_DIFF,0)))</f>
        <v>Территория 3</v>
      </c>
      <c r="AF11" s="2410" t="str">
        <f>IF(AF9="","",INDEX(DIFFERENTIATION_UNMERGE_AREA,MATCH(AF9,DIFFERENTIATION_ID_DIFF,0)))</f>
        <v>Территория 4</v>
      </c>
      <c r="AG11" s="2410" t="str">
        <f>IF(AG9="","",INDEX(DIFFERENTIATION_UNMERGE_AREA,MATCH(AG9,DIFFERENTIATION_ID_DIFF,0)))</f>
        <v>Территория 8</v>
      </c>
      <c r="AH11" s="2410" t="str">
        <f>IF(AH9="","",INDEX(DIFFERENTIATION_UNMERGE_AREA,MATCH(AH9,DIFFERENTIATION_ID_DIFF,0)))</f>
        <v>Территория 8</v>
      </c>
      <c r="AI11" s="2410" t="str">
        <f>IF(AI9="","",INDEX(DIFFERENTIATION_UNMERGE_AREA,MATCH(AI9,DIFFERENTIATION_ID_DIFF,0)))</f>
        <v>Территория 8</v>
      </c>
      <c r="AJ11" s="2410" t="str">
        <f>IF(AJ9="","",INDEX(DIFFERENTIATION_UNMERGE_AREA,MATCH(AJ9,DIFFERENTIATION_ID_DIFF,0)))</f>
        <v>Территория 9</v>
      </c>
      <c r="AK11" s="2410" t="str">
        <f>IF(AK9="","",INDEX(DIFFERENTIATION_UNMERGE_AREA,MATCH(AK9,DIFFERENTIATION_ID_DIFF,0)))</f>
        <v>Территория 11</v>
      </c>
      <c r="AL11" s="2410" t="str">
        <f>IF(AL9="","",INDEX(DIFFERENTIATION_UNMERGE_AREA,MATCH(AL9,DIFFERENTIATION_ID_DIFF,0)))</f>
        <v>Территория 9</v>
      </c>
      <c r="AM11" s="2410" t="str">
        <f>IF(AM9="","",INDEX(DIFFERENTIATION_UNMERGE_AREA,MATCH(AM9,DIFFERENTIATION_ID_DIFF,0)))</f>
        <v>Территория 6</v>
      </c>
      <c r="AN11" s="2410" t="str">
        <f>IF(AN9="","",INDEX(DIFFERENTIATION_UNMERGE_AREA,MATCH(AN9,DIFFERENTIATION_ID_DIFF,0)))</f>
        <v>Территория 7</v>
      </c>
      <c r="AO11" s="2410" t="str">
        <f>IF(AO9="","",INDEX(DIFFERENTIATION_UNMERGE_AREA,MATCH(AO9,DIFFERENTIATION_ID_DIFF,0)))</f>
        <v>Территория 11</v>
      </c>
      <c r="AP11" s="2410" t="str">
        <f>IF(AP9="","",INDEX(DIFFERENTIATION_UNMERGE_AREA,MATCH(AP9,DIFFERENTIATION_ID_DIFF,0)))</f>
        <v>Территория 1</v>
      </c>
      <c r="AQ11" s="2410" t="str">
        <f>IF(AQ9="","",INDEX(DIFFERENTIATION_UNMERGE_AREA,MATCH(AQ9,DIFFERENTIATION_ID_DIFF,0)))</f>
        <v>Территория 7</v>
      </c>
      <c r="AR11" s="2410" t="str">
        <f>IF(AR9="","",INDEX(DIFFERENTIATION_UNMERGE_AREA,MATCH(AR9,DIFFERENTIATION_ID_DIFF,0)))</f>
        <v>Территория 5</v>
      </c>
      <c r="AS11" s="2410" t="str">
        <f>IF(AS9="","",INDEX(DIFFERENTIATION_UNMERGE_AREA,MATCH(AS9,DIFFERENTIATION_ID_DIFF,0)))</f>
        <v>Территория 4</v>
      </c>
      <c r="AT11" s="2410" t="str">
        <f>IF(AT9="","",INDEX(DIFFERENTIATION_UNMERGE_AREA,MATCH(AT9,DIFFERENTIATION_ID_DIFF,0)))</f>
        <v>Территория 8</v>
      </c>
      <c r="AU11" s="2410" t="str">
        <f>IF(AU9="","",INDEX(DIFFERENTIATION_UNMERGE_AREA,MATCH(AU9,DIFFERENTIATION_ID_DIFF,0)))</f>
        <v>Территория 6</v>
      </c>
      <c r="AV11" s="2144"/>
      <c r="BR11" s="1635">
        <v>11</v>
      </c>
    </row>
    <row customHeight="1" ht="11.25" hidden="1">
      <c r="E12" s="1666"/>
      <c r="F12" s="2407" t="s">
        <v>703</v>
      </c>
      <c r="G12" s="2408"/>
      <c r="H12" s="1667" t="str">
        <f>IF(H9="","",INDEX(DIFFERENTIATION_UNMERGE_SYSTEM,MATCH(H9,DIFFERENTIATION_ID_DIFF,0)))</f>
        <v/>
      </c>
      <c r="I12" s="1667" t="str">
        <f>IF(I9="","",INDEX(DIFFERENTIATION_UNMERGE_SYSTEM,MATCH(I9,DIFFERENTIATION_ID_DIFF,0)))</f>
        <v>Централизованная система водоснабжения Барабашского сельского поселения</v>
      </c>
      <c r="J12" s="1667" t="str">
        <f>IF(J9="","",INDEX(DIFFERENTIATION_UNMERGE_SYSTEM,MATCH(J9,DIFFERENTIATION_ID_DIFF,0)))</f>
        <v>Черниговский МР</v>
      </c>
      <c r="K12" s="1667" t="str">
        <f>IF(K9="","",INDEX(DIFFERENTIATION_UNMERGE_SYSTEM,MATCH(K9,DIFFERENTIATION_ID_DIFF,0)))</f>
        <v> Городской округ Спасск-Дальний, Городской округ Спасск-Дальний (05720000)</v>
      </c>
      <c r="L12" s="1667" t="str">
        <f>IF(L9="","",INDEX(DIFFERENTIATION_UNMERGE_SYSTEM,MATCH(L9,DIFFERENTIATION_ID_DIFF,0)))</f>
        <v>Анучинский муниципальный округ, Анучинский муниципальный округ (05502000)</v>
      </c>
      <c r="M12" s="1667" t="str">
        <f>IF(M9="","",INDEX(DIFFERENTIATION_UNMERGE_SYSTEM,MATCH(M9,DIFFERENTIATION_ID_DIFF,0)))</f>
        <v>Централизованная система водоснабжения Барабашского сельского поселения.Военный городок</v>
      </c>
      <c r="N12" s="1667" t="str">
        <f>IF(N9="","",INDEX(DIFFERENTIATION_UNMERGE_SYSTEM,MATCH(N9,DIFFERENTIATION_ID_DIFF,0)))</f>
        <v>Централизованная система водоснабжения Безверховского сельского поселения</v>
      </c>
      <c r="O12" s="1667" t="str">
        <f>IF(O9="","",INDEX(DIFFERENTIATION_UNMERGE_SYSTEM,MATCH(O9,DIFFERENTIATION_ID_DIFF,0)))</f>
        <v>Централизованная система водоснабжения Краскинского городского поселения</v>
      </c>
      <c r="P12" s="1667" t="str">
        <f>IF(P9="","",INDEX(DIFFERENTIATION_UNMERGE_SYSTEM,MATCH(P9,DIFFERENTIATION_ID_DIFF,0)))</f>
        <v>Централизованная система водоснабжения Посьетского городского поселения</v>
      </c>
      <c r="Q12" s="1667" t="str">
        <f>IF(Q9="","",INDEX(DIFFERENTIATION_UNMERGE_SYSTEM,MATCH(Q9,DIFFERENTIATION_ID_DIFF,0)))</f>
        <v>Централизованная система водоснабжения Приморского городского поселения</v>
      </c>
      <c r="R12" s="1667" t="str">
        <f>IF(R9="","",INDEX(DIFFERENTIATION_UNMERGE_SYSTEM,MATCH(R9,DIFFERENTIATION_ID_DIFF,0)))</f>
        <v>Централизованная система водоснабжения пгт.Зарубино Хасанского муниципального округа</v>
      </c>
      <c r="S12" s="1667" t="str">
        <f>IF(S9="","",INDEX(DIFFERENTIATION_UNMERGE_SYSTEM,MATCH(S9,DIFFERENTIATION_ID_DIFF,0)))</f>
        <v>Централизованная система водоснабжения пгт. Хасан Хасанского муниципального округа</v>
      </c>
      <c r="T12" s="1667" t="str">
        <f>IF(T9="","",INDEX(DIFFERENTIATION_UNMERGE_SYSTEM,MATCH(T9,DIFFERENTIATION_ID_DIFF,0)))</f>
        <v>Централизованная система водоснабжения Анучинского сельского поселения</v>
      </c>
      <c r="U12" s="1667" t="str">
        <f>IF(U9="","",INDEX(DIFFERENTIATION_UNMERGE_SYSTEM,MATCH(U9,DIFFERENTIATION_ID_DIFF,0)))</f>
        <v>Централизованная система водоснабжения Романовского сельского поселения</v>
      </c>
      <c r="V12" s="1667" t="str">
        <f>IF(V9="","",INDEX(DIFFERENTIATION_UNMERGE_SYSTEM,MATCH(V9,DIFFERENTIATION_ID_DIFF,0)))</f>
        <v>Централизованная система водоснабжения городского округа ЗАТО город Фокино</v>
      </c>
      <c r="W12" s="1667" t="str">
        <f>IF(W9="","",INDEX(DIFFERENTIATION_UNMERGE_SYSTEM,MATCH(W9,DIFFERENTIATION_ID_DIFF,0)))</f>
        <v>Централизованная система водоснабжения Новошахтинского городского поселения</v>
      </c>
      <c r="X12" s="1667" t="str">
        <f>IF(X9="","",INDEX(DIFFERENTIATION_UNMERGE_SYSTEM,MATCH(X9,DIFFERENTIATION_ID_DIFF,0)))</f>
        <v>Централизованная система водоснабжения Дальнегорского городского округа</v>
      </c>
      <c r="Y12" s="1667" t="str">
        <f>IF(Y9="","",INDEX(DIFFERENTIATION_UNMERGE_SYSTEM,MATCH(Y9,DIFFERENTIATION_ID_DIFF,0)))</f>
        <v>Централизованная система водоснабжения Кавалеровского муниципального района</v>
      </c>
      <c r="Z12" s="1667" t="str">
        <f>IF(Z9="","",INDEX(DIFFERENTIATION_UNMERGE_SYSTEM,MATCH(Z9,DIFFERENTIATION_ID_DIFF,0)))</f>
        <v>Централизованная система водоснабжения Дмитриевского сельского поселения</v>
      </c>
      <c r="AA12" s="1667" t="str">
        <f>IF(AA9="","",INDEX(DIFFERENTIATION_UNMERGE_SYSTEM,MATCH(AA9,DIFFERENTIATION_ID_DIFF,0)))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B12" s="1667" t="str">
        <f>IF(AB9="","",INDEX(DIFFERENTIATION_UNMERGE_SYSTEM,MATCH(AB9,DIFFERENTIATION_ID_DIFF,0)))</f>
        <v>Централизованная система водоснабжения Глубинненского сельского поселения</v>
      </c>
      <c r="AC12" s="1667" t="str">
        <f>IF(AC9="","",INDEX(DIFFERENTIATION_UNMERGE_SYSTEM,MATCH(AC9,DIFFERENTIATION_ID_DIFF,0)))</f>
        <v>Централизованная система водоснабжения  Дальнереченского городского округа</v>
      </c>
      <c r="AD12" s="1667" t="str">
        <f>IF(AD9="","",INDEX(DIFFERENTIATION_UNMERGE_SYSTEM,MATCH(AD9,DIFFERENTIATION_ID_DIFF,0)))</f>
        <v>Централизованная истема водоснабжения Варфоломеевского сельского поселения (железнодорожная станция Варфоломеевка)</v>
      </c>
      <c r="AE12" s="1667" t="str">
        <f>IF(AE9="","",INDEX(DIFFERENTIATION_UNMERGE_SYSTEM,MATCH(AE9,DIFFERENTIATION_ID_DIFF,0)))</f>
        <v>Централизованная система водоснабжения Штыковского сельского поселения</v>
      </c>
      <c r="AF12" s="1667" t="str">
        <f>IF(AF9="","",INDEX(DIFFERENTIATION_UNMERGE_SYSTEM,MATCH(AF9,DIFFERENTIATION_ID_DIFF,0)))</f>
        <v>Централизованная система водоснабжения городского округа ЗАТО город Фокино (п.Путятин)</v>
      </c>
      <c r="AG12" s="1667" t="str">
        <f>IF(AG9="","",INDEX(DIFFERENTIATION_UNMERGE_SYSTEM,MATCH(AG9,DIFFERENTIATION_ID_DIFF,0)))</f>
        <v>Централизованная система водоснабжения Реттиховского сельского поселения</v>
      </c>
      <c r="AH12" s="1667" t="str">
        <f>IF(AH9="","",INDEX(DIFFERENTIATION_UNMERGE_SYSTEM,MATCH(AH9,DIFFERENTIATION_ID_DIFF,0)))</f>
        <v>Централизованная система водоснабжения Снегуровского сельского поселения </v>
      </c>
      <c r="AI12" s="1667" t="str">
        <f>IF(AI9="","",INDEX(DIFFERENTIATION_UNMERGE_SYSTEM,MATCH(AI9,DIFFERENTIATION_ID_DIFF,0)))</f>
        <v>Централизованная система водоснабжения Черниговского сельского поселения</v>
      </c>
      <c r="AJ12" s="1667" t="str">
        <f>IF(AJ9="","",INDEX(DIFFERENTIATION_UNMERGE_SYSTEM,MATCH(AJ9,DIFFERENTIATION_ID_DIFF,0)))</f>
        <v>Централизованная система водоснабжения городского округа Спасск-Дальний МКР Лазо</v>
      </c>
      <c r="AK12" s="1667" t="str">
        <f>IF(AK9="","",INDEX(DIFFERENTIATION_UNMERGE_SYSTEM,MATCH(AK9,DIFFERENTIATION_ID_DIFF,0)))</f>
        <v>Централизованная система водоснабжения  Дальнереченского городского округа (в.г.Графский)</v>
      </c>
      <c r="AL12" s="1667" t="str">
        <f>IF(AL9="","",INDEX(DIFFERENTIATION_UNMERGE_SYSTEM,MATCH(AL9,DIFFERENTIATION_ID_DIFF,0)))</f>
        <v>Городской округ Спасск-Дальний</v>
      </c>
      <c r="AM12" s="1667" t="str">
        <f>IF(AM9="","",INDEX(DIFFERENTIATION_UNMERGE_SYSTEM,MATCH(AM9,DIFFERENTIATION_ID_DIFF,0)))</f>
        <v>Дальнегорский ГО</v>
      </c>
      <c r="AN12" s="1667" t="str">
        <f>IF(AN9="","",INDEX(DIFFERENTIATION_UNMERGE_SYSTEM,MATCH(AN9,DIFFERENTIATION_ID_DIFF,0)))</f>
        <v>Кавалеровский МО</v>
      </c>
      <c r="AO12" s="1667" t="str">
        <f>IF(AO9="","",INDEX(DIFFERENTIATION_UNMERGE_SYSTEM,MATCH(AO9,DIFFERENTIATION_ID_DIFF,0)))</f>
        <v>Дальнереченский ГО</v>
      </c>
      <c r="AP12" s="1667" t="str">
        <f>IF(AP9="","",INDEX(DIFFERENTIATION_UNMERGE_SYSTEM,MATCH(AP9,DIFFERENTIATION_ID_DIFF,0)))</f>
        <v>пгт Посьет Хасанский муниципальный округ</v>
      </c>
      <c r="AQ12" s="1667" t="str">
        <f>IF(AQ9="","",INDEX(DIFFERENTIATION_UNMERGE_SYSTEM,MATCH(AQ9,DIFFERENTIATION_ID_DIFF,0)))</f>
        <v>Кавалеровский муниципальный район, Кавалеровкое городское поселение (05610151)</v>
      </c>
      <c r="AR12" s="1667" t="str">
        <f>IF(AR9="","",INDEX(DIFFERENTIATION_UNMERGE_SYSTEM,MATCH(AR9,DIFFERENTIATION_ID_DIFF,0)))</f>
        <v> Михайловский муниципальный район, Новошахтинское городское поселение (05620154)</v>
      </c>
      <c r="AS12" s="1667" t="str">
        <f>IF(AS9="","",INDEX(DIFFERENTIATION_UNMERGE_SYSTEM,MATCH(AS9,DIFFERENTIATION_ID_DIFF,0)))</f>
        <v>Городской округ ЗАТО г.Фокино (пгт. Путятин)</v>
      </c>
      <c r="AT12" s="1667" t="str">
        <f>IF(AT9="","",INDEX(DIFFERENTIATION_UNMERGE_SYSTEM,MATCH(AT9,DIFFERENTIATION_ID_DIFF,0)))</f>
        <v> Черниговский муниципальный район, Черниговское сельское поселение (05653425)</v>
      </c>
      <c r="AU12" s="1667" t="str">
        <f>IF(AU9="","",INDEX(DIFFERENTIATION_UNMERGE_SYSTEM,MATCH(AU9,DIFFERENTIATION_ID_DIFF,0)))</f>
        <v> Дальнегорский городской округ, Дальнегорский городской округ (05707000)</v>
      </c>
      <c r="AV12" s="2144"/>
      <c r="BR12" s="1635">
        <v>0</v>
      </c>
    </row>
    <row customHeight="1" ht="11.549999999999999">
      <c r="E13" s="2386" t="s">
        <v>438</v>
      </c>
      <c r="F13" s="2387"/>
      <c r="G13" s="2387"/>
      <c r="H13" s="1660"/>
      <c r="I13" s="1660"/>
      <c r="J13" s="2384"/>
      <c r="K13" s="2384"/>
      <c r="L13" s="2384"/>
      <c r="M13" s="2384"/>
      <c r="N13" s="2384"/>
      <c r="O13" s="2384"/>
      <c r="P13" s="2384"/>
      <c r="Q13" s="2384"/>
      <c r="R13" s="2384"/>
      <c r="S13" s="2384"/>
      <c r="T13" s="2384"/>
      <c r="U13" s="2384"/>
      <c r="V13" s="2384"/>
      <c r="W13" s="2384"/>
      <c r="X13" s="2384"/>
      <c r="Y13" s="2384"/>
      <c r="Z13" s="2384"/>
      <c r="AA13" s="2384"/>
      <c r="AB13" s="2384"/>
      <c r="AC13" s="2384"/>
      <c r="AD13" s="2384"/>
      <c r="AE13" s="2384"/>
      <c r="AF13" s="2384"/>
      <c r="AG13" s="2384"/>
      <c r="AH13" s="2384"/>
      <c r="AI13" s="2384"/>
      <c r="AJ13" s="2384"/>
      <c r="AK13" s="2384"/>
      <c r="AL13" s="2384"/>
      <c r="AM13" s="2384"/>
      <c r="AN13" s="2384"/>
      <c r="AO13" s="2384"/>
      <c r="AP13" s="2384"/>
      <c r="AQ13" s="2384"/>
      <c r="AR13" s="2384"/>
      <c r="AS13" s="2384"/>
      <c r="AT13" s="2384"/>
      <c r="AU13" s="2384"/>
      <c r="AV13" s="2144"/>
      <c r="BR13" s="1635">
        <v>11</v>
      </c>
    </row>
    <row customHeight="1" ht="24">
      <c r="E14" s="1661" t="s">
        <v>87</v>
      </c>
      <c r="F14" s="1664" t="s">
        <v>440</v>
      </c>
      <c r="G14" s="1664" t="s">
        <v>704</v>
      </c>
      <c r="H14" s="1664" t="s">
        <v>441</v>
      </c>
      <c r="I14" s="1664" t="s">
        <v>441</v>
      </c>
      <c r="J14" s="2383" t="s">
        <v>441</v>
      </c>
      <c r="K14" s="2383" t="s">
        <v>441</v>
      </c>
      <c r="L14" s="2383" t="s">
        <v>441</v>
      </c>
      <c r="M14" s="2383" t="s">
        <v>441</v>
      </c>
      <c r="N14" s="2383" t="s">
        <v>441</v>
      </c>
      <c r="O14" s="2383" t="s">
        <v>441</v>
      </c>
      <c r="P14" s="2383" t="s">
        <v>441</v>
      </c>
      <c r="Q14" s="2383" t="s">
        <v>441</v>
      </c>
      <c r="R14" s="2383" t="s">
        <v>441</v>
      </c>
      <c r="S14" s="2383" t="s">
        <v>441</v>
      </c>
      <c r="T14" s="2383" t="s">
        <v>441</v>
      </c>
      <c r="U14" s="2383" t="s">
        <v>441</v>
      </c>
      <c r="V14" s="2383" t="s">
        <v>441</v>
      </c>
      <c r="W14" s="2383" t="s">
        <v>441</v>
      </c>
      <c r="X14" s="2383" t="s">
        <v>441</v>
      </c>
      <c r="Y14" s="2383" t="s">
        <v>441</v>
      </c>
      <c r="Z14" s="2383" t="s">
        <v>441</v>
      </c>
      <c r="AA14" s="2383" t="s">
        <v>441</v>
      </c>
      <c r="AB14" s="2383" t="s">
        <v>441</v>
      </c>
      <c r="AC14" s="2383" t="s">
        <v>441</v>
      </c>
      <c r="AD14" s="2383" t="s">
        <v>441</v>
      </c>
      <c r="AE14" s="2383" t="s">
        <v>441</v>
      </c>
      <c r="AF14" s="2383" t="s">
        <v>441</v>
      </c>
      <c r="AG14" s="2383" t="s">
        <v>441</v>
      </c>
      <c r="AH14" s="2383" t="s">
        <v>441</v>
      </c>
      <c r="AI14" s="2383" t="s">
        <v>441</v>
      </c>
      <c r="AJ14" s="2383" t="s">
        <v>441</v>
      </c>
      <c r="AK14" s="2383" t="s">
        <v>441</v>
      </c>
      <c r="AL14" s="2383" t="s">
        <v>441</v>
      </c>
      <c r="AM14" s="2383" t="s">
        <v>441</v>
      </c>
      <c r="AN14" s="2383" t="s">
        <v>441</v>
      </c>
      <c r="AO14" s="2383" t="s">
        <v>441</v>
      </c>
      <c r="AP14" s="2383" t="s">
        <v>441</v>
      </c>
      <c r="AQ14" s="2383" t="s">
        <v>441</v>
      </c>
      <c r="AR14" s="2383" t="s">
        <v>441</v>
      </c>
      <c r="AS14" s="2383" t="s">
        <v>441</v>
      </c>
      <c r="AT14" s="2383" t="s">
        <v>441</v>
      </c>
      <c r="AU14" s="2383" t="s">
        <v>441</v>
      </c>
      <c r="AV14" s="2144"/>
      <c r="BR14" s="1635">
        <v>23</v>
      </c>
    </row>
    <row customHeight="1" ht="19.95">
      <c r="D15" s="1642"/>
      <c r="E15" s="1634" t="s">
        <v>105</v>
      </c>
      <c r="F15" s="711" t="s">
        <v>964</v>
      </c>
      <c r="G15" s="1661" t="s">
        <v>690</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293" t="s">
        <v>965</v>
      </c>
      <c r="AW15" s="547" t="s">
        <v>813</v>
      </c>
      <c r="BR15" s="1635">
        <v>19</v>
      </c>
    </row>
    <row customHeight="1" ht="24">
      <c r="D16" s="1642"/>
      <c r="E16" s="1634" t="s">
        <v>102</v>
      </c>
      <c r="F16" s="2088" t="s">
        <v>966</v>
      </c>
      <c r="G16" s="1661" t="s">
        <v>690</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562">
        <f>SUM(X17,X20:X27)</f>
        <v>0</v>
      </c>
      <c r="Y16" s="562">
        <f>SUM(Y17,Y20:Y27)</f>
        <v>0</v>
      </c>
      <c r="Z16" s="562">
        <f>SUM(Z17,Z20:Z27)</f>
        <v>0</v>
      </c>
      <c r="AA16" s="562">
        <f>SUM(AA17,AA20:AA27)</f>
        <v>0</v>
      </c>
      <c r="AB16" s="562">
        <f>SUM(AB17,AB20:AB27)</f>
        <v>0</v>
      </c>
      <c r="AC16" s="562">
        <f>SUM(AC17,AC20:AC27)</f>
        <v>0</v>
      </c>
      <c r="AD16" s="562">
        <f>SUM(AD17,AD20:AD27)</f>
        <v>0</v>
      </c>
      <c r="AE16" s="562">
        <f>SUM(AE17,AE20:AE27)</f>
        <v>0</v>
      </c>
      <c r="AF16" s="562">
        <f>SUM(AF17,AF20:AF27)</f>
        <v>0</v>
      </c>
      <c r="AG16" s="562">
        <f>SUM(AG17,AG20:AG27)</f>
        <v>0</v>
      </c>
      <c r="AH16" s="562">
        <f>SUM(AH17,AH20:AH27)</f>
        <v>0</v>
      </c>
      <c r="AI16" s="562">
        <f>SUM(AI17,AI20:AI27)</f>
        <v>0</v>
      </c>
      <c r="AJ16" s="562">
        <f>SUM(AJ17,AJ20:AJ27)</f>
        <v>0</v>
      </c>
      <c r="AK16" s="562">
        <f>SUM(AK17,AK20:AK27)</f>
        <v>0</v>
      </c>
      <c r="AL16" s="562">
        <f>SUM(AL17,AL20:AL27)</f>
        <v>0</v>
      </c>
      <c r="AM16" s="562">
        <f>SUM(AM17,AM20:AM27)</f>
        <v>0</v>
      </c>
      <c r="AN16" s="562">
        <f>SUM(AN17,AN20:AN27)</f>
        <v>0</v>
      </c>
      <c r="AO16" s="562">
        <f>SUM(AO17,AO20:AO27)</f>
        <v>0</v>
      </c>
      <c r="AP16" s="562">
        <f>SUM(AP17,AP20:AP27)</f>
        <v>0</v>
      </c>
      <c r="AQ16" s="562">
        <f>SUM(AQ17,AQ20:AQ27)</f>
        <v>0</v>
      </c>
      <c r="AR16" s="562">
        <f>SUM(AR17,AR20:AR27)</f>
        <v>0</v>
      </c>
      <c r="AS16" s="562">
        <f>SUM(AS17,AS20:AS27)</f>
        <v>0</v>
      </c>
      <c r="AT16" s="562">
        <f>SUM(AT17,AT20:AT27)</f>
        <v>0</v>
      </c>
      <c r="AU16" s="562">
        <f>SUM(AU17,AU20:AU27)</f>
        <v>0</v>
      </c>
      <c r="AV16" s="2085" t="s">
        <v>967</v>
      </c>
      <c r="AW16" s="547" t="s">
        <v>813</v>
      </c>
      <c r="BR16" s="1635">
        <v>23</v>
      </c>
    </row>
    <row customHeight="1" ht="35.699999999999996">
      <c r="D17" s="1642"/>
      <c r="E17" s="1668" t="s">
        <v>891</v>
      </c>
      <c r="F17" s="1670" t="s">
        <v>968</v>
      </c>
      <c r="G17" s="1658" t="s">
        <v>690</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293" t="s">
        <v>969</v>
      </c>
      <c r="AW17" s="547"/>
      <c r="BR17" s="1635">
        <v>34</v>
      </c>
    </row>
    <row customHeight="1" ht="19.95">
      <c r="D18" s="1642"/>
      <c r="E18" s="1668" t="s">
        <v>894</v>
      </c>
      <c r="F18" s="1671" t="s">
        <v>970</v>
      </c>
      <c r="G18" s="1658" t="s">
        <v>690</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293"/>
      <c r="AW18" s="547"/>
      <c r="BR18" s="1635">
        <v>19</v>
      </c>
    </row>
    <row customHeight="1" ht="24">
      <c r="D19" s="1642"/>
      <c r="E19" s="1668" t="s">
        <v>897</v>
      </c>
      <c r="F19" s="1671" t="s">
        <v>971</v>
      </c>
      <c r="G19" s="1658" t="s">
        <v>690</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293"/>
      <c r="AW19" s="547"/>
      <c r="BR19" s="1635">
        <v>23</v>
      </c>
    </row>
    <row customHeight="1" ht="35.699999999999996">
      <c r="D20" s="1642"/>
      <c r="E20" s="1668" t="s">
        <v>445</v>
      </c>
      <c r="F20" s="1670" t="s">
        <v>972</v>
      </c>
      <c r="G20" s="1658" t="s">
        <v>690</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293"/>
      <c r="AW20" s="547"/>
      <c r="BR20" s="1635">
        <v>34</v>
      </c>
    </row>
    <row customHeight="1" ht="48.29999999999999">
      <c r="D21" s="1642"/>
      <c r="E21" s="1668" t="s">
        <v>448</v>
      </c>
      <c r="F21" s="1670" t="s">
        <v>973</v>
      </c>
      <c r="G21" s="1658" t="s">
        <v>690</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293"/>
      <c r="AW21" s="547"/>
      <c r="BR21" s="1635">
        <v>46</v>
      </c>
    </row>
    <row customHeight="1" ht="60">
      <c r="D22" s="1642"/>
      <c r="E22" s="1668" t="s">
        <v>911</v>
      </c>
      <c r="F22" s="1670" t="s">
        <v>974</v>
      </c>
      <c r="G22" s="1658" t="s">
        <v>690</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293"/>
      <c r="AW22" s="547"/>
      <c r="BR22" s="1635">
        <v>57</v>
      </c>
    </row>
    <row customHeight="1" ht="35.699999999999996">
      <c r="D23" s="1642"/>
      <c r="E23" s="1668" t="s">
        <v>918</v>
      </c>
      <c r="F23" s="1670" t="s">
        <v>975</v>
      </c>
      <c r="G23" s="1658" t="s">
        <v>690</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293"/>
      <c r="AW23" s="547"/>
      <c r="BR23" s="1635">
        <v>34</v>
      </c>
    </row>
    <row customHeight="1" ht="35.699999999999996">
      <c r="D24" s="1642"/>
      <c r="E24" s="1668" t="s">
        <v>920</v>
      </c>
      <c r="F24" s="1670" t="s">
        <v>976</v>
      </c>
      <c r="G24" s="1658" t="s">
        <v>690</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293"/>
      <c r="AW24" s="547"/>
      <c r="BR24" s="1635">
        <v>34</v>
      </c>
    </row>
    <row customHeight="1" ht="24">
      <c r="D25" s="1642"/>
      <c r="E25" s="1668" t="s">
        <v>922</v>
      </c>
      <c r="F25" s="1670" t="s">
        <v>977</v>
      </c>
      <c r="G25" s="1658" t="s">
        <v>690</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293"/>
      <c r="AW25" s="547"/>
      <c r="BR25" s="1635">
        <v>23</v>
      </c>
    </row>
    <row customHeight="1" ht="76.5">
      <c r="D26" s="1642"/>
      <c r="E26" s="1668" t="s">
        <v>924</v>
      </c>
      <c r="F26" s="1670" t="s">
        <v>978</v>
      </c>
      <c r="G26" s="1658" t="s">
        <v>690</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293"/>
      <c r="AW26" s="547"/>
      <c r="BR26" s="1635">
        <v>73</v>
      </c>
    </row>
    <row s="1370" customFormat="1" customHeight="1" ht="35.699999999999996">
      <c r="A27" s="991"/>
      <c r="C27" s="1640"/>
      <c r="D27" s="1642"/>
      <c r="E27" s="1633" t="s">
        <v>928</v>
      </c>
      <c r="F27" s="1632" t="s">
        <v>979</v>
      </c>
      <c r="G27" s="1659" t="s">
        <v>690</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583">
        <f>SUM(X28:X29)</f>
        <v>0</v>
      </c>
      <c r="Y27" s="583">
        <f>SUM(Y28:Y29)</f>
        <v>0</v>
      </c>
      <c r="Z27" s="583">
        <f>SUM(Z28:Z29)</f>
        <v>0</v>
      </c>
      <c r="AA27" s="583">
        <f>SUM(AA28:AA29)</f>
        <v>0</v>
      </c>
      <c r="AB27" s="583">
        <f>SUM(AB28:AB29)</f>
        <v>0</v>
      </c>
      <c r="AC27" s="583">
        <f>SUM(AC28:AC29)</f>
        <v>0</v>
      </c>
      <c r="AD27" s="583">
        <f>SUM(AD28:AD29)</f>
        <v>0</v>
      </c>
      <c r="AE27" s="583">
        <f>SUM(AE28:AE29)</f>
        <v>0</v>
      </c>
      <c r="AF27" s="583">
        <f>SUM(AF28:AF29)</f>
        <v>0</v>
      </c>
      <c r="AG27" s="583">
        <f>SUM(AG28:AG29)</f>
        <v>0</v>
      </c>
      <c r="AH27" s="583">
        <f>SUM(AH28:AH29)</f>
        <v>0</v>
      </c>
      <c r="AI27" s="583">
        <f>SUM(AI28:AI29)</f>
        <v>0</v>
      </c>
      <c r="AJ27" s="583">
        <f>SUM(AJ28:AJ29)</f>
        <v>0</v>
      </c>
      <c r="AK27" s="583">
        <f>SUM(AK28:AK29)</f>
        <v>0</v>
      </c>
      <c r="AL27" s="583">
        <f>SUM(AL28:AL29)</f>
        <v>0</v>
      </c>
      <c r="AM27" s="583">
        <f>SUM(AM28:AM29)</f>
        <v>0</v>
      </c>
      <c r="AN27" s="583">
        <f>SUM(AN28:AN29)</f>
        <v>0</v>
      </c>
      <c r="AO27" s="583">
        <f>SUM(AO28:AO29)</f>
        <v>0</v>
      </c>
      <c r="AP27" s="583">
        <f>SUM(AP28:AP29)</f>
        <v>0</v>
      </c>
      <c r="AQ27" s="583">
        <f>SUM(AQ28:AQ29)</f>
        <v>0</v>
      </c>
      <c r="AR27" s="583">
        <f>SUM(AR28:AR29)</f>
        <v>0</v>
      </c>
      <c r="AS27" s="583">
        <f>SUM(AS28:AS29)</f>
        <v>0</v>
      </c>
      <c r="AT27" s="583">
        <f>SUM(AT28:AT29)</f>
        <v>0</v>
      </c>
      <c r="AU27" s="583">
        <f>SUM(AU28:AU29)</f>
        <v>0</v>
      </c>
      <c r="AV27" s="293" t="s">
        <v>926</v>
      </c>
      <c r="AW27" s="547"/>
      <c r="AX27" s="1640"/>
      <c r="AY27" s="1640"/>
      <c r="BD27" s="1640"/>
      <c r="BG27" s="548"/>
      <c r="BM27" s="1636"/>
      <c r="BN27" s="1636"/>
      <c r="BO27" s="1636"/>
      <c r="BP27" s="1636"/>
      <c r="BQ27" s="1636"/>
      <c r="BR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996"/>
      <c r="AT28" s="996"/>
      <c r="AU28" s="996"/>
      <c r="AV28" s="997"/>
      <c r="BR28" s="1640">
        <v>1</v>
      </c>
    </row>
    <row s="1370" customFormat="1" customHeight="1" ht="19.95">
      <c r="A29" s="991"/>
      <c r="C29" s="1640"/>
      <c r="D29" s="1637"/>
      <c r="E29" s="574"/>
      <c r="F29" s="1669" t="s">
        <v>721</v>
      </c>
      <c r="G29" s="576"/>
      <c r="H29" s="577"/>
      <c r="I29" s="577"/>
      <c r="J29" s="2980"/>
      <c r="K29" s="2981"/>
      <c r="L29" s="2982"/>
      <c r="M29" s="2983"/>
      <c r="N29" s="2984"/>
      <c r="O29" s="2985"/>
      <c r="P29" s="2986"/>
      <c r="Q29" s="2987"/>
      <c r="R29" s="2988"/>
      <c r="S29" s="2989"/>
      <c r="T29" s="2990"/>
      <c r="U29" s="2991"/>
      <c r="V29" s="2992"/>
      <c r="W29" s="2993"/>
      <c r="X29" s="2994"/>
      <c r="Y29" s="2995"/>
      <c r="Z29" s="2996"/>
      <c r="AA29" s="2997"/>
      <c r="AB29" s="2998"/>
      <c r="AC29" s="2999"/>
      <c r="AD29" s="3000"/>
      <c r="AE29" s="3001"/>
      <c r="AF29" s="3002"/>
      <c r="AG29" s="3003"/>
      <c r="AH29" s="3004"/>
      <c r="AI29" s="3005"/>
      <c r="AJ29" s="3006"/>
      <c r="AK29" s="3007"/>
      <c r="AL29" s="3008"/>
      <c r="AM29" s="3009"/>
      <c r="AN29" s="3011"/>
      <c r="AO29" s="3012"/>
      <c r="AP29" s="3014"/>
      <c r="AQ29" s="3016"/>
      <c r="AR29" s="3017"/>
      <c r="AS29" s="3018"/>
      <c r="AT29" s="3019"/>
      <c r="AU29" s="3020"/>
      <c r="AV29" s="305" t="s">
        <v>927</v>
      </c>
      <c r="AW29" s="547"/>
      <c r="AX29" s="1640"/>
      <c r="AY29" s="1640"/>
      <c r="BD29" s="1640"/>
      <c r="BG29" s="548"/>
      <c r="BM29" s="1636"/>
      <c r="BN29" s="1636"/>
      <c r="BO29" s="1636"/>
      <c r="BP29" s="1636"/>
      <c r="BQ29" s="1636"/>
      <c r="BR29" s="1164">
        <v>19</v>
      </c>
    </row>
    <row customHeight="1" ht="76.5">
      <c r="B30" s="1370"/>
      <c r="D30" s="2079"/>
      <c r="E30" s="1668" t="s">
        <v>980</v>
      </c>
      <c r="F30" s="2087" t="s">
        <v>935</v>
      </c>
      <c r="G30" s="2078" t="s">
        <v>690</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2085" t="s">
        <v>981</v>
      </c>
      <c r="AW30" s="547"/>
      <c r="AZ30" s="1370"/>
      <c r="BA30" s="1370"/>
      <c r="BB30" s="1370"/>
      <c r="BC30" s="1370"/>
      <c r="BE30" s="1370"/>
      <c r="BF30" s="1370"/>
      <c r="BH30" s="1370"/>
      <c r="BI30" s="1370"/>
      <c r="BJ30" s="1370"/>
      <c r="BK30" s="1370"/>
      <c r="BL30" s="1370"/>
      <c r="BR30" s="1635">
        <v>73</v>
      </c>
    </row>
    <row s="1370" customFormat="1" customHeight="1" ht="24">
      <c r="A31" s="991"/>
      <c r="C31" s="1640"/>
      <c r="D31" s="1642"/>
      <c r="E31" s="1668" t="s">
        <v>89</v>
      </c>
      <c r="F31" s="1665" t="s">
        <v>982</v>
      </c>
      <c r="G31" s="1658" t="s">
        <v>690</v>
      </c>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293"/>
      <c r="AW31" s="547"/>
      <c r="AX31" s="1640"/>
      <c r="AY31" s="1640"/>
      <c r="BD31" s="1640"/>
      <c r="BG31" s="548"/>
      <c r="BM31" s="1636"/>
      <c r="BN31" s="1636"/>
      <c r="BO31" s="1636"/>
      <c r="BP31" s="1636"/>
      <c r="BQ31" s="1636"/>
      <c r="BR31" s="1164">
        <v>23</v>
      </c>
    </row>
    <row s="1370" customFormat="1" customHeight="1" ht="35.699999999999996">
      <c r="A32" s="991"/>
      <c r="C32" s="1640"/>
      <c r="D32" s="579"/>
      <c r="E32" s="1668" t="s">
        <v>90</v>
      </c>
      <c r="F32" s="1665" t="s">
        <v>983</v>
      </c>
      <c r="G32" s="1658" t="s">
        <v>690</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293" t="s">
        <v>984</v>
      </c>
      <c r="AW32" s="547"/>
      <c r="AX32" s="1640"/>
      <c r="AY32" s="1640"/>
      <c r="BD32" s="1640"/>
      <c r="BG32" s="548"/>
      <c r="BM32" s="1636"/>
      <c r="BN32" s="1636"/>
      <c r="BO32" s="1636"/>
      <c r="BP32" s="1636"/>
      <c r="BQ32" s="1636"/>
      <c r="BR32" s="1164">
        <v>34</v>
      </c>
    </row>
    <row s="1370" customFormat="1" customHeight="1" ht="24">
      <c r="A33" s="991"/>
      <c r="C33" s="1640"/>
      <c r="D33" s="1642"/>
      <c r="E33" s="1668" t="s">
        <v>942</v>
      </c>
      <c r="F33" s="694" t="s">
        <v>946</v>
      </c>
      <c r="G33" s="1658" t="s">
        <v>690</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293" t="s">
        <v>985</v>
      </c>
      <c r="AW33" s="547"/>
      <c r="AX33" s="1640"/>
      <c r="AY33" s="1640"/>
      <c r="BD33" s="1640"/>
      <c r="BG33" s="548"/>
      <c r="BM33" s="1636"/>
      <c r="BN33" s="1636"/>
      <c r="BO33" s="1636"/>
      <c r="BP33" s="1636"/>
      <c r="BQ33" s="1636"/>
      <c r="BR33" s="1164">
        <v>23</v>
      </c>
    </row>
    <row s="1370" customFormat="1" customHeight="1" ht="24">
      <c r="A34" s="991"/>
      <c r="C34" s="1640"/>
      <c r="D34" s="1642"/>
      <c r="E34" s="1668" t="s">
        <v>986</v>
      </c>
      <c r="F34" s="694" t="s">
        <v>987</v>
      </c>
      <c r="G34" s="1658" t="s">
        <v>690</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293" t="s">
        <v>988</v>
      </c>
      <c r="AW34" s="547"/>
      <c r="AX34" s="1640"/>
      <c r="AY34" s="1640"/>
      <c r="BD34" s="1640"/>
      <c r="BG34" s="548"/>
      <c r="BM34" s="1636"/>
      <c r="BN34" s="1636"/>
      <c r="BO34" s="1636"/>
      <c r="BP34" s="1636"/>
      <c r="BQ34" s="1636"/>
      <c r="BR34" s="1164">
        <v>23</v>
      </c>
    </row>
    <row s="1370" customFormat="1" customHeight="1" ht="24">
      <c r="A35" s="991"/>
      <c r="C35" s="1640"/>
      <c r="D35" s="1642"/>
      <c r="E35" s="1668" t="s">
        <v>989</v>
      </c>
      <c r="F35" s="694" t="s">
        <v>952</v>
      </c>
      <c r="G35" s="1658" t="s">
        <v>690</v>
      </c>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293" t="s">
        <v>990</v>
      </c>
      <c r="AW35" s="547"/>
      <c r="AX35" s="1640"/>
      <c r="AY35" s="1640"/>
      <c r="BD35" s="1640"/>
      <c r="BG35" s="548"/>
      <c r="BM35" s="1636"/>
      <c r="BN35" s="1636"/>
      <c r="BO35" s="1636"/>
      <c r="BP35" s="1636"/>
      <c r="BQ35" s="1636"/>
      <c r="BR35" s="1164">
        <v>23</v>
      </c>
    </row>
    <row s="1370" customFormat="1" customHeight="1" ht="35.699999999999996">
      <c r="A36" s="991"/>
      <c r="C36" s="1640" t="s">
        <v>724</v>
      </c>
      <c r="D36" s="1642"/>
      <c r="E36" s="1668" t="s">
        <v>120</v>
      </c>
      <c r="F36" s="1665" t="s">
        <v>812</v>
      </c>
      <c r="G36" s="1661" t="s">
        <v>444</v>
      </c>
      <c r="H36" s="405"/>
      <c r="I36" s="405"/>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293" t="s">
        <v>991</v>
      </c>
      <c r="AW36" s="547"/>
      <c r="AX36" s="1640"/>
      <c r="AY36" s="1640"/>
      <c r="BD36" s="1640"/>
      <c r="BG36" s="548"/>
      <c r="BM36" s="1636"/>
      <c r="BN36" s="1636"/>
      <c r="BO36" s="1636"/>
      <c r="BP36" s="1636"/>
      <c r="BQ36" s="1636"/>
      <c r="BR36" s="1164">
        <v>34</v>
      </c>
    </row>
    <row s="1370" customFormat="1" customHeight="1" ht="35.699999999999996">
      <c r="A37" s="991"/>
      <c r="C37" s="1640"/>
      <c r="D37" s="1642"/>
      <c r="E37" s="1668" t="s">
        <v>91</v>
      </c>
      <c r="F37" s="1665" t="s">
        <v>992</v>
      </c>
      <c r="G37" s="1658" t="s">
        <v>957</v>
      </c>
      <c r="H37" s="2086"/>
      <c r="I37" s="2086"/>
      <c r="J37" s="2086"/>
      <c r="K37" s="2086"/>
      <c r="L37" s="2086"/>
      <c r="M37" s="2086"/>
      <c r="N37" s="2086"/>
      <c r="O37" s="2086"/>
      <c r="P37" s="2086"/>
      <c r="Q37" s="2086"/>
      <c r="R37" s="2086"/>
      <c r="S37" s="2086"/>
      <c r="T37" s="2086"/>
      <c r="U37" s="2086"/>
      <c r="V37" s="2086"/>
      <c r="W37" s="2086"/>
      <c r="X37" s="2086"/>
      <c r="Y37" s="2086"/>
      <c r="Z37" s="2086"/>
      <c r="AA37" s="2086"/>
      <c r="AB37" s="2086"/>
      <c r="AC37" s="2086"/>
      <c r="AD37" s="2086"/>
      <c r="AE37" s="2086"/>
      <c r="AF37" s="2086"/>
      <c r="AG37" s="2086"/>
      <c r="AH37" s="2086"/>
      <c r="AI37" s="2086"/>
      <c r="AJ37" s="2086"/>
      <c r="AK37" s="2086"/>
      <c r="AL37" s="2086"/>
      <c r="AM37" s="2086"/>
      <c r="AN37" s="2086"/>
      <c r="AO37" s="2086"/>
      <c r="AP37" s="2086"/>
      <c r="AQ37" s="2086"/>
      <c r="AR37" s="2086"/>
      <c r="AS37" s="2086"/>
      <c r="AT37" s="2086"/>
      <c r="AU37" s="2086"/>
      <c r="AV37" s="293" t="s">
        <v>958</v>
      </c>
      <c r="AW37" s="547"/>
      <c r="AX37" s="1640"/>
      <c r="AY37" s="1640"/>
      <c r="BD37" s="1640"/>
      <c r="BG37" s="548"/>
      <c r="BM37" s="1636"/>
      <c r="BN37" s="1636"/>
      <c r="BO37" s="1636"/>
      <c r="BP37" s="1636"/>
      <c r="BQ37" s="1636"/>
      <c r="BR37" s="1164">
        <v>34</v>
      </c>
    </row>
    <row s="1370" customFormat="1" customHeight="1" ht="33.75">
      <c r="A38" s="991"/>
      <c r="C38" s="1640"/>
      <c r="D38" s="2079"/>
      <c r="E38" s="1668" t="s">
        <v>835</v>
      </c>
      <c r="F38" s="2087" t="s">
        <v>993</v>
      </c>
      <c r="G38" s="2078" t="s">
        <v>957</v>
      </c>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2085" t="s">
        <v>994</v>
      </c>
      <c r="AW38" s="547"/>
      <c r="AX38" s="1640"/>
      <c r="AY38" s="1640"/>
      <c r="BD38" s="1640"/>
      <c r="BG38" s="548"/>
      <c r="BM38" s="1636"/>
      <c r="BN38" s="1636"/>
      <c r="BO38" s="1636"/>
      <c r="BP38" s="1636"/>
      <c r="BQ38" s="1636"/>
    </row>
    <row s="1370" customFormat="1" customHeight="1" ht="33.75">
      <c r="A39" s="991"/>
      <c r="C39" s="1640"/>
      <c r="D39" s="2079"/>
      <c r="E39" s="1668" t="s">
        <v>839</v>
      </c>
      <c r="F39" s="2087" t="s">
        <v>995</v>
      </c>
      <c r="G39" s="2078" t="s">
        <v>957</v>
      </c>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2085" t="s">
        <v>996</v>
      </c>
      <c r="AW39" s="547"/>
      <c r="AX39" s="1640"/>
      <c r="AY39" s="1640"/>
      <c r="BD39" s="1640"/>
      <c r="BG39" s="548"/>
      <c r="BM39" s="1636"/>
      <c r="BN39" s="1636"/>
      <c r="BO39" s="1636"/>
      <c r="BP39" s="1636"/>
      <c r="BQ39" s="1636"/>
    </row>
    <row s="1370" customFormat="1" customHeight="1" ht="24">
      <c r="A40" s="991"/>
      <c r="C40" s="1640"/>
      <c r="D40" s="1642"/>
      <c r="E40" s="1668" t="s">
        <v>92</v>
      </c>
      <c r="F40" s="1665" t="s">
        <v>997</v>
      </c>
      <c r="G40" s="1658" t="s">
        <v>960</v>
      </c>
      <c r="H40" s="2086"/>
      <c r="I40" s="2086"/>
      <c r="J40" s="2086"/>
      <c r="K40" s="2086"/>
      <c r="L40" s="2086"/>
      <c r="M40" s="2086"/>
      <c r="N40" s="2086"/>
      <c r="O40" s="2086"/>
      <c r="P40" s="2086"/>
      <c r="Q40" s="2086"/>
      <c r="R40" s="2086"/>
      <c r="S40" s="2086"/>
      <c r="T40" s="2086"/>
      <c r="U40" s="2086"/>
      <c r="V40" s="2086"/>
      <c r="W40" s="2086"/>
      <c r="X40" s="2086"/>
      <c r="Y40" s="2086"/>
      <c r="Z40" s="2086"/>
      <c r="AA40" s="2086"/>
      <c r="AB40" s="2086"/>
      <c r="AC40" s="2086"/>
      <c r="AD40" s="2086"/>
      <c r="AE40" s="2086"/>
      <c r="AF40" s="2086"/>
      <c r="AG40" s="2086"/>
      <c r="AH40" s="2086"/>
      <c r="AI40" s="2086"/>
      <c r="AJ40" s="2086"/>
      <c r="AK40" s="2086"/>
      <c r="AL40" s="2086"/>
      <c r="AM40" s="2086"/>
      <c r="AN40" s="2086"/>
      <c r="AO40" s="2086"/>
      <c r="AP40" s="2086"/>
      <c r="AQ40" s="2086"/>
      <c r="AR40" s="2086"/>
      <c r="AS40" s="2086"/>
      <c r="AT40" s="2086"/>
      <c r="AU40" s="2086"/>
      <c r="AV40" s="293" t="s">
        <v>961</v>
      </c>
      <c r="AW40" s="547"/>
      <c r="AX40" s="1640"/>
      <c r="AY40" s="1640"/>
      <c r="BD40" s="1640"/>
      <c r="BG40" s="548"/>
      <c r="BM40" s="1636"/>
      <c r="BN40" s="1636"/>
      <c r="BO40" s="1636"/>
      <c r="BP40" s="1636"/>
      <c r="BQ40" s="1636"/>
      <c r="BR40" s="1164">
        <v>23</v>
      </c>
    </row>
    <row s="1370" customFormat="1" customHeight="1" ht="24">
      <c r="A41" s="991"/>
      <c r="C41" s="1640"/>
      <c r="D41" s="2079"/>
      <c r="E41" s="1668" t="s">
        <v>998</v>
      </c>
      <c r="F41" s="2087" t="s">
        <v>999</v>
      </c>
      <c r="G41" s="2078" t="s">
        <v>960</v>
      </c>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2085" t="s">
        <v>1000</v>
      </c>
      <c r="AW41" s="547"/>
      <c r="AX41" s="1640"/>
      <c r="AY41" s="1640"/>
      <c r="BD41" s="1640"/>
      <c r="BG41" s="548"/>
      <c r="BM41" s="1636"/>
      <c r="BN41" s="1636"/>
      <c r="BO41" s="1636"/>
      <c r="BP41" s="1636"/>
      <c r="BQ41" s="1636"/>
      <c r="BR41" s="1370">
        <v>23</v>
      </c>
    </row>
    <row s="1370" customFormat="1" customHeight="1" ht="24">
      <c r="A42" s="991"/>
      <c r="C42" s="1640"/>
      <c r="D42" s="2079"/>
      <c r="E42" s="1668" t="s">
        <v>1001</v>
      </c>
      <c r="F42" s="2087" t="s">
        <v>1002</v>
      </c>
      <c r="G42" s="2078" t="s">
        <v>960</v>
      </c>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2085" t="s">
        <v>1003</v>
      </c>
      <c r="AW42" s="547"/>
      <c r="AX42" s="1640"/>
      <c r="AY42" s="1640"/>
      <c r="BD42" s="1640"/>
      <c r="BG42" s="548"/>
      <c r="BM42" s="1636"/>
      <c r="BN42" s="1636"/>
      <c r="BO42" s="1636"/>
      <c r="BP42" s="1636"/>
      <c r="BQ42" s="1636"/>
      <c r="BR42" s="1370">
        <v>23</v>
      </c>
    </row>
    <row customHeight="1" ht="11.549999999999999">
      <c r="D43" s="1642"/>
      <c r="J43" s="1639"/>
      <c r="K43" s="1639"/>
      <c r="L43" s="1639"/>
      <c r="M43" s="1639"/>
      <c r="N43" s="1639"/>
      <c r="O43" s="1639"/>
      <c r="P43" s="1639"/>
      <c r="Q43" s="1639"/>
      <c r="R43" s="1639"/>
      <c r="S43" s="1639"/>
      <c r="T43" s="1639"/>
      <c r="U43" s="1639"/>
      <c r="V43" s="1639"/>
      <c r="W43" s="1639"/>
      <c r="X43" s="1639"/>
      <c r="Y43" s="1639"/>
      <c r="Z43" s="1639"/>
      <c r="AA43" s="1639"/>
      <c r="AB43" s="1639"/>
      <c r="AC43" s="1639"/>
      <c r="AD43" s="1639"/>
      <c r="AE43" s="1639"/>
      <c r="AF43" s="1639"/>
      <c r="AG43" s="1639"/>
      <c r="AH43" s="1639"/>
      <c r="AI43" s="1639"/>
      <c r="AJ43" s="1639"/>
      <c r="AK43" s="1639"/>
      <c r="AL43" s="1639"/>
      <c r="AM43" s="1639"/>
      <c r="AN43" s="1639"/>
      <c r="AO43" s="1639"/>
      <c r="AP43" s="1639"/>
      <c r="AQ43" s="1639"/>
      <c r="AR43" s="1639"/>
      <c r="AS43" s="1639"/>
      <c r="AT43" s="1639"/>
      <c r="AU43" s="1639"/>
      <c r="BR43" s="1635">
        <v>11</v>
      </c>
    </row>
    <row customHeight="1" ht="27.299999999999997">
      <c r="D44" s="1642"/>
      <c r="E44" s="1257" t="s">
        <v>1004</v>
      </c>
      <c r="F44" s="2302" t="s">
        <v>1005</v>
      </c>
      <c r="G44" s="2302"/>
      <c r="H44" s="373"/>
      <c r="I44" s="373"/>
      <c r="J44" s="1690"/>
      <c r="K44" s="1690"/>
      <c r="L44" s="1690"/>
      <c r="M44" s="1690"/>
      <c r="N44" s="1690"/>
      <c r="O44" s="1690"/>
      <c r="P44" s="1690"/>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0"/>
      <c r="AM44" s="1690"/>
      <c r="AN44" s="1690"/>
      <c r="AO44" s="1690"/>
      <c r="AP44" s="1690"/>
      <c r="AQ44" s="1690"/>
      <c r="AR44" s="1690"/>
      <c r="AS44" s="1690"/>
      <c r="AT44" s="1690"/>
      <c r="AU44" s="1690"/>
      <c r="AV44" s="373"/>
      <c r="BR44" s="1635">
        <v>26</v>
      </c>
    </row>
    <row s="1645" customFormat="1" customHeight="1" ht="39.75">
      <c r="A45" s="991"/>
      <c r="B45" s="1640"/>
      <c r="C45" s="1640"/>
      <c r="D45" s="355"/>
      <c r="F45" s="2302" t="s">
        <v>1006</v>
      </c>
      <c r="G45" s="2302"/>
      <c r="H45" s="373"/>
      <c r="I45" s="373"/>
      <c r="J45" s="1690"/>
      <c r="K45" s="1690"/>
      <c r="L45" s="1690"/>
      <c r="M45" s="1690"/>
      <c r="N45" s="1690"/>
      <c r="O45" s="1690"/>
      <c r="P45" s="1690"/>
      <c r="Q45" s="1690"/>
      <c r="R45" s="1690"/>
      <c r="S45" s="1690"/>
      <c r="T45" s="1690"/>
      <c r="U45" s="1690"/>
      <c r="V45" s="1690"/>
      <c r="W45" s="1690"/>
      <c r="X45" s="1690"/>
      <c r="Y45" s="1690"/>
      <c r="Z45" s="1690"/>
      <c r="AA45" s="1690"/>
      <c r="AB45" s="1690"/>
      <c r="AC45" s="1690"/>
      <c r="AD45" s="1690"/>
      <c r="AE45" s="1690"/>
      <c r="AF45" s="1690"/>
      <c r="AG45" s="1690"/>
      <c r="AH45" s="1690"/>
      <c r="AI45" s="1690"/>
      <c r="AJ45" s="1690"/>
      <c r="AK45" s="1690"/>
      <c r="AL45" s="1690"/>
      <c r="AM45" s="1690"/>
      <c r="AN45" s="1690"/>
      <c r="AO45" s="1690"/>
      <c r="AP45" s="1690"/>
      <c r="AQ45" s="1690"/>
      <c r="AR45" s="1690"/>
      <c r="AS45" s="1690"/>
      <c r="AT45" s="1690"/>
      <c r="AU45" s="1690"/>
      <c r="AV45" s="373"/>
      <c r="AW45" s="1164"/>
      <c r="AX45" s="1640"/>
      <c r="AY45" s="1640"/>
      <c r="AZ45" s="1164"/>
      <c r="BA45" s="1164"/>
      <c r="BB45" s="1164"/>
      <c r="BC45" s="1164"/>
      <c r="BD45" s="1640"/>
      <c r="BE45" s="1164"/>
      <c r="BF45" s="1164"/>
      <c r="BG45" s="548"/>
      <c r="BH45" s="1164"/>
      <c r="BI45" s="1164"/>
      <c r="BJ45" s="1164"/>
      <c r="BK45" s="1164"/>
      <c r="BL45" s="1164"/>
      <c r="BM45" s="1636"/>
      <c r="BN45" s="570"/>
      <c r="BO45" s="570"/>
      <c r="BP45" s="570"/>
      <c r="BQ45" s="570"/>
      <c r="BR45" s="1645">
        <v>38</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W46" s="1164"/>
      <c r="AX46" s="1640"/>
      <c r="AY46" s="1640"/>
      <c r="AZ46" s="1164"/>
      <c r="BA46" s="1164"/>
      <c r="BB46" s="1164"/>
      <c r="BC46" s="1164"/>
      <c r="BD46" s="1640"/>
      <c r="BE46" s="1164"/>
      <c r="BF46" s="1164"/>
      <c r="BG46" s="548"/>
      <c r="BH46" s="1164"/>
      <c r="BI46" s="1164"/>
      <c r="BJ46" s="1164"/>
      <c r="BK46" s="1164"/>
      <c r="BL46" s="1164"/>
      <c r="BM46" s="1636"/>
      <c r="BN46" s="570"/>
      <c r="BO46" s="570"/>
      <c r="BP46" s="570"/>
      <c r="BQ46" s="570"/>
      <c r="BR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W47" s="1164"/>
      <c r="AX47" s="1640"/>
      <c r="AY47" s="1640"/>
      <c r="AZ47" s="1164"/>
      <c r="BA47" s="1164"/>
      <c r="BB47" s="1164"/>
      <c r="BC47" s="1164"/>
      <c r="BD47" s="1640"/>
      <c r="BE47" s="1164"/>
      <c r="BF47" s="1164"/>
      <c r="BG47" s="548"/>
      <c r="BH47" s="1164"/>
      <c r="BI47" s="1164"/>
      <c r="BJ47" s="1164"/>
      <c r="BK47" s="1164"/>
      <c r="BL47" s="1164"/>
      <c r="BM47" s="1636"/>
      <c r="BN47" s="570"/>
      <c r="BO47" s="570"/>
      <c r="BP47" s="570"/>
      <c r="BQ47" s="570"/>
      <c r="BR47" s="1645">
        <v>11</v>
      </c>
    </row>
    <row s="1645" customFormat="1" customHeight="1" ht="11.549999999999999">
      <c r="A48" s="991"/>
      <c r="B48" s="1640"/>
      <c r="C48" s="1640"/>
      <c r="D48" s="355"/>
      <c r="H48" s="570"/>
      <c r="I48" s="570"/>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W48" s="1164"/>
      <c r="AX48" s="1640"/>
      <c r="AY48" s="1640"/>
      <c r="AZ48" s="1164"/>
      <c r="BA48" s="1164"/>
      <c r="BB48" s="1164"/>
      <c r="BC48" s="1164"/>
      <c r="BD48" s="1640"/>
      <c r="BE48" s="1164"/>
      <c r="BF48" s="1164"/>
      <c r="BG48" s="548"/>
      <c r="BH48" s="1164"/>
      <c r="BI48" s="1164"/>
      <c r="BJ48" s="1164"/>
      <c r="BK48" s="1164"/>
      <c r="BL48" s="1164"/>
      <c r="BM48" s="1636"/>
      <c r="BN48" s="570"/>
      <c r="BO48" s="570"/>
      <c r="BP48" s="570"/>
      <c r="BQ48" s="570"/>
      <c r="BR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W49" s="1164"/>
      <c r="AX49" s="1640"/>
      <c r="AY49" s="1640"/>
      <c r="AZ49" s="1164"/>
      <c r="BA49" s="1164"/>
      <c r="BB49" s="1164"/>
      <c r="BC49" s="1164"/>
      <c r="BD49" s="1640"/>
      <c r="BE49" s="1164"/>
      <c r="BF49" s="1164"/>
      <c r="BG49" s="548"/>
      <c r="BH49" s="1164"/>
      <c r="BI49" s="1164"/>
      <c r="BJ49" s="1164"/>
      <c r="BK49" s="1164"/>
      <c r="BL49" s="1164"/>
      <c r="BM49" s="1636"/>
      <c r="BN49" s="570"/>
      <c r="BO49" s="570"/>
      <c r="BP49" s="570"/>
      <c r="BQ49" s="570"/>
      <c r="BR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W50" s="1164"/>
      <c r="AX50" s="1640"/>
      <c r="AY50" s="1640"/>
      <c r="AZ50" s="1164"/>
      <c r="BA50" s="1164"/>
      <c r="BB50" s="1164"/>
      <c r="BC50" s="1164"/>
      <c r="BD50" s="1640"/>
      <c r="BE50" s="1164"/>
      <c r="BF50" s="1164"/>
      <c r="BG50" s="548"/>
      <c r="BH50" s="1164"/>
      <c r="BI50" s="1164"/>
      <c r="BJ50" s="1164"/>
      <c r="BK50" s="1164"/>
      <c r="BL50" s="1164"/>
      <c r="BM50" s="1636"/>
      <c r="BN50" s="570"/>
      <c r="BO50" s="570"/>
      <c r="BP50" s="570"/>
      <c r="BQ50" s="570"/>
      <c r="BR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W51" s="1164"/>
      <c r="AX51" s="1640"/>
      <c r="AY51" s="1640"/>
      <c r="AZ51" s="1164"/>
      <c r="BA51" s="1164"/>
      <c r="BB51" s="1164"/>
      <c r="BC51" s="1164"/>
      <c r="BD51" s="1640"/>
      <c r="BE51" s="1164"/>
      <c r="BF51" s="1164"/>
      <c r="BG51" s="548"/>
      <c r="BH51" s="1164"/>
      <c r="BI51" s="1164"/>
      <c r="BJ51" s="1164"/>
      <c r="BK51" s="1164"/>
      <c r="BL51" s="1164"/>
      <c r="BM51" s="1636"/>
      <c r="BN51" s="570"/>
      <c r="BO51" s="570"/>
      <c r="BP51" s="570"/>
      <c r="BQ51" s="570"/>
      <c r="BR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W52" s="1164"/>
      <c r="AX52" s="1640"/>
      <c r="AY52" s="1640"/>
      <c r="AZ52" s="1164"/>
      <c r="BA52" s="1164"/>
      <c r="BB52" s="1164"/>
      <c r="BC52" s="1164"/>
      <c r="BD52" s="1640"/>
      <c r="BE52" s="1164"/>
      <c r="BF52" s="1164"/>
      <c r="BG52" s="548"/>
      <c r="BH52" s="1164"/>
      <c r="BI52" s="1164"/>
      <c r="BJ52" s="1164"/>
      <c r="BK52" s="1164"/>
      <c r="BL52" s="1164"/>
      <c r="BM52" s="1636"/>
      <c r="BN52" s="570"/>
      <c r="BO52" s="570"/>
      <c r="BP52" s="570"/>
      <c r="BQ52" s="570"/>
      <c r="BR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W53" s="1164"/>
      <c r="AX53" s="1640"/>
      <c r="AY53" s="1640"/>
      <c r="AZ53" s="1164"/>
      <c r="BA53" s="1164"/>
      <c r="BB53" s="1164"/>
      <c r="BC53" s="1164"/>
      <c r="BD53" s="1640"/>
      <c r="BE53" s="1164"/>
      <c r="BF53" s="1164"/>
      <c r="BG53" s="548"/>
      <c r="BH53" s="1164"/>
      <c r="BI53" s="1164"/>
      <c r="BJ53" s="1164"/>
      <c r="BK53" s="1164"/>
      <c r="BL53" s="1164"/>
      <c r="BM53" s="1636"/>
      <c r="BN53" s="570"/>
      <c r="BO53" s="570"/>
      <c r="BP53" s="570"/>
      <c r="BQ53" s="570"/>
      <c r="BR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W54" s="1164"/>
      <c r="AX54" s="1640"/>
      <c r="AY54" s="1640"/>
      <c r="AZ54" s="1164"/>
      <c r="BA54" s="1164"/>
      <c r="BB54" s="1164"/>
      <c r="BC54" s="1164"/>
      <c r="BD54" s="1640"/>
      <c r="BE54" s="1164"/>
      <c r="BF54" s="1164"/>
      <c r="BG54" s="548"/>
      <c r="BH54" s="1164"/>
      <c r="BI54" s="1164"/>
      <c r="BJ54" s="1164"/>
      <c r="BK54" s="1164"/>
      <c r="BL54" s="1164"/>
      <c r="BM54" s="1636"/>
      <c r="BN54" s="570"/>
      <c r="BO54" s="570"/>
      <c r="BP54" s="570"/>
      <c r="BQ54" s="570"/>
      <c r="BR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W55" s="1164"/>
      <c r="AX55" s="1640"/>
      <c r="AY55" s="1640"/>
      <c r="AZ55" s="1164"/>
      <c r="BA55" s="1164"/>
      <c r="BB55" s="1164"/>
      <c r="BC55" s="1164"/>
      <c r="BD55" s="1640"/>
      <c r="BE55" s="1164"/>
      <c r="BF55" s="1164"/>
      <c r="BG55" s="548"/>
      <c r="BH55" s="1164"/>
      <c r="BI55" s="1164"/>
      <c r="BJ55" s="1164"/>
      <c r="BK55" s="1164"/>
      <c r="BL55" s="1164"/>
      <c r="BM55" s="1636"/>
      <c r="BN55" s="570"/>
      <c r="BO55" s="570"/>
      <c r="BP55" s="570"/>
      <c r="BQ55" s="570"/>
      <c r="BR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W56" s="1164"/>
      <c r="AX56" s="1640"/>
      <c r="AY56" s="1640"/>
      <c r="AZ56" s="1164"/>
      <c r="BA56" s="1164"/>
      <c r="BB56" s="1164"/>
      <c r="BC56" s="1164"/>
      <c r="BD56" s="1640"/>
      <c r="BE56" s="1164"/>
      <c r="BF56" s="1164"/>
      <c r="BG56" s="548"/>
      <c r="BH56" s="1164"/>
      <c r="BI56" s="1164"/>
      <c r="BJ56" s="1164"/>
      <c r="BK56" s="1164"/>
      <c r="BL56" s="1164"/>
      <c r="BM56" s="1636"/>
      <c r="BN56" s="570"/>
      <c r="BO56" s="570"/>
      <c r="BP56" s="570"/>
      <c r="BQ56" s="570"/>
      <c r="BR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W57" s="1164"/>
      <c r="AX57" s="1640"/>
      <c r="AY57" s="1640"/>
      <c r="AZ57" s="1164"/>
      <c r="BA57" s="1164"/>
      <c r="BB57" s="1164"/>
      <c r="BC57" s="1164"/>
      <c r="BD57" s="1640"/>
      <c r="BE57" s="1164"/>
      <c r="BF57" s="1164"/>
      <c r="BG57" s="548"/>
      <c r="BH57" s="1164"/>
      <c r="BI57" s="1164"/>
      <c r="BJ57" s="1164"/>
      <c r="BK57" s="1164"/>
      <c r="BL57" s="1164"/>
      <c r="BM57" s="1636"/>
      <c r="BN57" s="570"/>
      <c r="BO57" s="570"/>
      <c r="BP57" s="570"/>
      <c r="BQ57" s="570"/>
      <c r="BR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W58" s="1164"/>
      <c r="AX58" s="1640"/>
      <c r="AY58" s="1640"/>
      <c r="AZ58" s="1164"/>
      <c r="BA58" s="1164"/>
      <c r="BB58" s="1164"/>
      <c r="BC58" s="1164"/>
      <c r="BD58" s="1640"/>
      <c r="BE58" s="1164"/>
      <c r="BF58" s="1164"/>
      <c r="BG58" s="548"/>
      <c r="BH58" s="1164"/>
      <c r="BI58" s="1164"/>
      <c r="BJ58" s="1164"/>
      <c r="BK58" s="1164"/>
      <c r="BL58" s="1164"/>
      <c r="BM58" s="1636"/>
      <c r="BN58" s="570"/>
      <c r="BO58" s="570"/>
      <c r="BP58" s="570"/>
      <c r="BQ58" s="570"/>
      <c r="BR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W59" s="1164"/>
      <c r="AX59" s="1640"/>
      <c r="AY59" s="1640"/>
      <c r="AZ59" s="1164"/>
      <c r="BA59" s="1164"/>
      <c r="BB59" s="1164"/>
      <c r="BC59" s="1164"/>
      <c r="BD59" s="1640"/>
      <c r="BE59" s="1164"/>
      <c r="BF59" s="1164"/>
      <c r="BG59" s="548"/>
      <c r="BH59" s="1164"/>
      <c r="BI59" s="1164"/>
      <c r="BJ59" s="1164"/>
      <c r="BK59" s="1164"/>
      <c r="BL59" s="1164"/>
      <c r="BM59" s="1636"/>
      <c r="BN59" s="570"/>
      <c r="BO59" s="570"/>
      <c r="BP59" s="570"/>
      <c r="BQ59" s="570"/>
      <c r="BR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W60" s="1164"/>
      <c r="AX60" s="1640"/>
      <c r="AY60" s="1640"/>
      <c r="AZ60" s="1164"/>
      <c r="BA60" s="1164"/>
      <c r="BB60" s="1164"/>
      <c r="BC60" s="1164"/>
      <c r="BD60" s="1640"/>
      <c r="BE60" s="1164"/>
      <c r="BF60" s="1164"/>
      <c r="BG60" s="548"/>
      <c r="BH60" s="1164"/>
      <c r="BI60" s="1164"/>
      <c r="BJ60" s="1164"/>
      <c r="BK60" s="1164"/>
      <c r="BL60" s="1164"/>
      <c r="BM60" s="1636"/>
      <c r="BN60" s="570"/>
      <c r="BO60" s="570"/>
      <c r="BP60" s="570"/>
      <c r="BQ60" s="570"/>
      <c r="BR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W61" s="1164"/>
      <c r="AX61" s="1640"/>
      <c r="AY61" s="1640"/>
      <c r="AZ61" s="1164"/>
      <c r="BA61" s="1164"/>
      <c r="BB61" s="1164"/>
      <c r="BC61" s="1164"/>
      <c r="BD61" s="1640"/>
      <c r="BE61" s="1164"/>
      <c r="BF61" s="1164"/>
      <c r="BG61" s="548"/>
      <c r="BH61" s="1164"/>
      <c r="BI61" s="1164"/>
      <c r="BJ61" s="1164"/>
      <c r="BK61" s="1164"/>
      <c r="BL61" s="1164"/>
      <c r="BM61" s="1636"/>
      <c r="BN61" s="570"/>
      <c r="BO61" s="570"/>
      <c r="BP61" s="570"/>
      <c r="BQ61" s="570"/>
      <c r="BR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W62" s="1164"/>
      <c r="AX62" s="1640"/>
      <c r="AY62" s="1640"/>
      <c r="AZ62" s="1164"/>
      <c r="BA62" s="1164"/>
      <c r="BB62" s="1164"/>
      <c r="BC62" s="1164"/>
      <c r="BD62" s="1640"/>
      <c r="BE62" s="1164"/>
      <c r="BF62" s="1164"/>
      <c r="BG62" s="548"/>
      <c r="BH62" s="1164"/>
      <c r="BI62" s="1164"/>
      <c r="BJ62" s="1164"/>
      <c r="BK62" s="1164"/>
      <c r="BL62" s="1164"/>
      <c r="BM62" s="1636"/>
      <c r="BN62" s="570"/>
      <c r="BO62" s="570"/>
      <c r="BP62" s="570"/>
      <c r="BQ62" s="570"/>
      <c r="BR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W63" s="1164"/>
      <c r="AX63" s="1640"/>
      <c r="AY63" s="1640"/>
      <c r="AZ63" s="1164"/>
      <c r="BA63" s="1164"/>
      <c r="BB63" s="1164"/>
      <c r="BC63" s="1164"/>
      <c r="BD63" s="1640"/>
      <c r="BE63" s="1164"/>
      <c r="BF63" s="1164"/>
      <c r="BG63" s="548"/>
      <c r="BH63" s="1164"/>
      <c r="BI63" s="1164"/>
      <c r="BJ63" s="1164"/>
      <c r="BK63" s="1164"/>
      <c r="BL63" s="1164"/>
      <c r="BM63" s="1636"/>
      <c r="BN63" s="570"/>
      <c r="BO63" s="570"/>
      <c r="BP63" s="570"/>
      <c r="BQ63" s="570"/>
      <c r="BR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W64" s="1164"/>
      <c r="AX64" s="1640"/>
      <c r="AY64" s="1640"/>
      <c r="AZ64" s="1164"/>
      <c r="BA64" s="1164"/>
      <c r="BB64" s="1164"/>
      <c r="BC64" s="1164"/>
      <c r="BD64" s="1640"/>
      <c r="BE64" s="1164"/>
      <c r="BF64" s="1164"/>
      <c r="BG64" s="548"/>
      <c r="BH64" s="1164"/>
      <c r="BI64" s="1164"/>
      <c r="BJ64" s="1164"/>
      <c r="BK64" s="1164"/>
      <c r="BL64" s="1164"/>
      <c r="BM64" s="1636"/>
      <c r="BN64" s="570"/>
      <c r="BO64" s="570"/>
      <c r="BP64" s="570"/>
      <c r="BQ64" s="570"/>
      <c r="BR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W65" s="1164"/>
      <c r="AX65" s="1640"/>
      <c r="AY65" s="1640"/>
      <c r="AZ65" s="1164"/>
      <c r="BA65" s="1164"/>
      <c r="BB65" s="1164"/>
      <c r="BC65" s="1164"/>
      <c r="BD65" s="1640"/>
      <c r="BE65" s="1164"/>
      <c r="BF65" s="1164"/>
      <c r="BG65" s="548"/>
      <c r="BH65" s="1164"/>
      <c r="BI65" s="1164"/>
      <c r="BJ65" s="1164"/>
      <c r="BK65" s="1164"/>
      <c r="BL65" s="1164"/>
      <c r="BM65" s="1636"/>
      <c r="BN65" s="570"/>
      <c r="BO65" s="570"/>
      <c r="BP65" s="570"/>
      <c r="BQ65" s="570"/>
      <c r="BR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W66" s="1164"/>
      <c r="AX66" s="1640"/>
      <c r="AY66" s="1640"/>
      <c r="AZ66" s="1164"/>
      <c r="BA66" s="1164"/>
      <c r="BB66" s="1164"/>
      <c r="BC66" s="1164"/>
      <c r="BD66" s="1640"/>
      <c r="BE66" s="1164"/>
      <c r="BF66" s="1164"/>
      <c r="BG66" s="548"/>
      <c r="BH66" s="1164"/>
      <c r="BI66" s="1164"/>
      <c r="BJ66" s="1164"/>
      <c r="BK66" s="1164"/>
      <c r="BL66" s="1164"/>
      <c r="BM66" s="1636"/>
      <c r="BN66" s="570"/>
      <c r="BO66" s="570"/>
      <c r="BP66" s="570"/>
      <c r="BQ66" s="570"/>
      <c r="BR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W67" s="1164"/>
      <c r="AX67" s="1640"/>
      <c r="AY67" s="1640"/>
      <c r="AZ67" s="1164"/>
      <c r="BA67" s="1164"/>
      <c r="BB67" s="1164"/>
      <c r="BC67" s="1164"/>
      <c r="BD67" s="1640"/>
      <c r="BE67" s="1164"/>
      <c r="BF67" s="1164"/>
      <c r="BG67" s="548"/>
      <c r="BH67" s="1164"/>
      <c r="BI67" s="1164"/>
      <c r="BJ67" s="1164"/>
      <c r="BK67" s="1164"/>
      <c r="BL67" s="1164"/>
      <c r="BM67" s="1636"/>
      <c r="BN67" s="570"/>
      <c r="BO67" s="570"/>
      <c r="BP67" s="570"/>
      <c r="BQ67" s="570"/>
      <c r="BR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W68" s="1164"/>
      <c r="AX68" s="1640"/>
      <c r="AY68" s="1640"/>
      <c r="AZ68" s="1164"/>
      <c r="BA68" s="1164"/>
      <c r="BB68" s="1164"/>
      <c r="BC68" s="1164"/>
      <c r="BD68" s="1640"/>
      <c r="BE68" s="1164"/>
      <c r="BF68" s="1164"/>
      <c r="BG68" s="548"/>
      <c r="BH68" s="1164"/>
      <c r="BI68" s="1164"/>
      <c r="BJ68" s="1164"/>
      <c r="BK68" s="1164"/>
      <c r="BL68" s="1164"/>
      <c r="BM68" s="1636"/>
      <c r="BN68" s="570"/>
      <c r="BO68" s="570"/>
      <c r="BP68" s="570"/>
      <c r="BQ68" s="570"/>
      <c r="BR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W69" s="1164"/>
      <c r="AX69" s="1640"/>
      <c r="AY69" s="1640"/>
      <c r="AZ69" s="1164"/>
      <c r="BA69" s="1164"/>
      <c r="BB69" s="1164"/>
      <c r="BC69" s="1164"/>
      <c r="BD69" s="1640"/>
      <c r="BE69" s="1164"/>
      <c r="BF69" s="1164"/>
      <c r="BG69" s="548"/>
      <c r="BH69" s="1164"/>
      <c r="BI69" s="1164"/>
      <c r="BJ69" s="1164"/>
      <c r="BK69" s="1164"/>
      <c r="BL69" s="1164"/>
      <c r="BM69" s="1636"/>
      <c r="BN69" s="570"/>
      <c r="BO69" s="570"/>
      <c r="BP69" s="570"/>
      <c r="BQ69" s="570"/>
      <c r="BR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W70" s="1164"/>
      <c r="AX70" s="1640"/>
      <c r="AY70" s="1640"/>
      <c r="AZ70" s="1164"/>
      <c r="BA70" s="1164"/>
      <c r="BB70" s="1164"/>
      <c r="BC70" s="1164"/>
      <c r="BD70" s="1640"/>
      <c r="BE70" s="1164"/>
      <c r="BF70" s="1164"/>
      <c r="BG70" s="548"/>
      <c r="BH70" s="1164"/>
      <c r="BI70" s="1164"/>
      <c r="BJ70" s="1164"/>
      <c r="BK70" s="1164"/>
      <c r="BL70" s="1164"/>
      <c r="BM70" s="1636"/>
      <c r="BN70" s="570"/>
      <c r="BO70" s="570"/>
      <c r="BP70" s="570"/>
      <c r="BQ70" s="570"/>
      <c r="BR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W71" s="1164"/>
      <c r="AX71" s="1640"/>
      <c r="AY71" s="1640"/>
      <c r="AZ71" s="1164"/>
      <c r="BA71" s="1164"/>
      <c r="BB71" s="1164"/>
      <c r="BC71" s="1164"/>
      <c r="BD71" s="1640"/>
      <c r="BE71" s="1164"/>
      <c r="BF71" s="1164"/>
      <c r="BG71" s="548"/>
      <c r="BH71" s="1164"/>
      <c r="BI71" s="1164"/>
      <c r="BJ71" s="1164"/>
      <c r="BK71" s="1164"/>
      <c r="BL71" s="1164"/>
      <c r="BM71" s="1636"/>
      <c r="BN71" s="570"/>
      <c r="BO71" s="570"/>
      <c r="BP71" s="570"/>
      <c r="BQ71" s="570"/>
      <c r="BR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W72" s="1164"/>
      <c r="AX72" s="1640"/>
      <c r="AY72" s="1640"/>
      <c r="AZ72" s="1164"/>
      <c r="BA72" s="1164"/>
      <c r="BB72" s="1164"/>
      <c r="BC72" s="1164"/>
      <c r="BD72" s="1640"/>
      <c r="BE72" s="1164"/>
      <c r="BF72" s="1164"/>
      <c r="BG72" s="548"/>
      <c r="BH72" s="1164"/>
      <c r="BI72" s="1164"/>
      <c r="BJ72" s="1164"/>
      <c r="BK72" s="1164"/>
      <c r="BL72" s="1164"/>
      <c r="BM72" s="1636"/>
      <c r="BN72" s="570"/>
      <c r="BO72" s="570"/>
      <c r="BP72" s="570"/>
      <c r="BQ72" s="570"/>
      <c r="BR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W73" s="1164"/>
      <c r="AX73" s="1640"/>
      <c r="AY73" s="1640"/>
      <c r="AZ73" s="1164"/>
      <c r="BA73" s="1164"/>
      <c r="BB73" s="1164"/>
      <c r="BC73" s="1164"/>
      <c r="BD73" s="1640"/>
      <c r="BE73" s="1164"/>
      <c r="BF73" s="1164"/>
      <c r="BG73" s="548"/>
      <c r="BH73" s="1164"/>
      <c r="BI73" s="1164"/>
      <c r="BJ73" s="1164"/>
      <c r="BK73" s="1164"/>
      <c r="BL73" s="1164"/>
      <c r="BM73" s="1636"/>
      <c r="BN73" s="570"/>
      <c r="BO73" s="570"/>
      <c r="BP73" s="570"/>
      <c r="BQ73" s="570"/>
      <c r="BR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W74" s="1164"/>
      <c r="AX74" s="1640"/>
      <c r="AY74" s="1640"/>
      <c r="AZ74" s="1164"/>
      <c r="BA74" s="1164"/>
      <c r="BB74" s="1164"/>
      <c r="BC74" s="1164"/>
      <c r="BD74" s="1640"/>
      <c r="BE74" s="1164"/>
      <c r="BF74" s="1164"/>
      <c r="BG74" s="548"/>
      <c r="BH74" s="1164"/>
      <c r="BI74" s="1164"/>
      <c r="BJ74" s="1164"/>
      <c r="BK74" s="1164"/>
      <c r="BL74" s="1164"/>
      <c r="BM74" s="1636"/>
      <c r="BN74" s="570"/>
      <c r="BO74" s="570"/>
      <c r="BP74" s="570"/>
      <c r="BQ74" s="570"/>
      <c r="BR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W75" s="1164"/>
      <c r="AX75" s="1640"/>
      <c r="AY75" s="1640"/>
      <c r="AZ75" s="1164"/>
      <c r="BA75" s="1164"/>
      <c r="BB75" s="1164"/>
      <c r="BC75" s="1164"/>
      <c r="BD75" s="1640"/>
      <c r="BE75" s="1164"/>
      <c r="BF75" s="1164"/>
      <c r="BG75" s="548"/>
      <c r="BH75" s="1164"/>
      <c r="BI75" s="1164"/>
      <c r="BJ75" s="1164"/>
      <c r="BK75" s="1164"/>
      <c r="BL75" s="1164"/>
      <c r="BM75" s="1636"/>
      <c r="BN75" s="570"/>
      <c r="BO75" s="570"/>
      <c r="BP75" s="570"/>
      <c r="BQ75" s="570"/>
      <c r="BR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W76" s="1164"/>
      <c r="AX76" s="1640"/>
      <c r="AY76" s="1640"/>
      <c r="AZ76" s="1164"/>
      <c r="BA76" s="1164"/>
      <c r="BB76" s="1164"/>
      <c r="BC76" s="1164"/>
      <c r="BD76" s="1640"/>
      <c r="BE76" s="1164"/>
      <c r="BF76" s="1164"/>
      <c r="BG76" s="548"/>
      <c r="BH76" s="1164"/>
      <c r="BI76" s="1164"/>
      <c r="BJ76" s="1164"/>
      <c r="BK76" s="1164"/>
      <c r="BL76" s="1164"/>
      <c r="BM76" s="1636"/>
      <c r="BN76" s="570"/>
      <c r="BO76" s="570"/>
      <c r="BP76" s="570"/>
      <c r="BQ76" s="570"/>
      <c r="BR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W77" s="1164"/>
      <c r="AX77" s="1640"/>
      <c r="AY77" s="1640"/>
      <c r="AZ77" s="1164"/>
      <c r="BA77" s="1164"/>
      <c r="BB77" s="1164"/>
      <c r="BC77" s="1164"/>
      <c r="BD77" s="1640"/>
      <c r="BE77" s="1164"/>
      <c r="BF77" s="1164"/>
      <c r="BG77" s="548"/>
      <c r="BH77" s="1164"/>
      <c r="BI77" s="1164"/>
      <c r="BJ77" s="1164"/>
      <c r="BK77" s="1164"/>
      <c r="BL77" s="1164"/>
      <c r="BM77" s="1636"/>
      <c r="BN77" s="570"/>
      <c r="BO77" s="570"/>
      <c r="BP77" s="570"/>
      <c r="BQ77" s="570"/>
      <c r="BR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W78" s="1164"/>
      <c r="AX78" s="1640"/>
      <c r="AY78" s="1640"/>
      <c r="AZ78" s="1164"/>
      <c r="BA78" s="1164"/>
      <c r="BB78" s="1164"/>
      <c r="BC78" s="1164"/>
      <c r="BD78" s="1640"/>
      <c r="BE78" s="1164"/>
      <c r="BF78" s="1164"/>
      <c r="BG78" s="548"/>
      <c r="BH78" s="1164"/>
      <c r="BI78" s="1164"/>
      <c r="BJ78" s="1164"/>
      <c r="BK78" s="1164"/>
      <c r="BL78" s="1164"/>
      <c r="BM78" s="1636"/>
      <c r="BN78" s="570"/>
      <c r="BO78" s="570"/>
      <c r="BP78" s="570"/>
      <c r="BQ78" s="570"/>
      <c r="BR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W79" s="1164"/>
      <c r="AX79" s="1640"/>
      <c r="AY79" s="1640"/>
      <c r="AZ79" s="1164"/>
      <c r="BA79" s="1164"/>
      <c r="BB79" s="1164"/>
      <c r="BC79" s="1164"/>
      <c r="BD79" s="1640"/>
      <c r="BE79" s="1164"/>
      <c r="BF79" s="1164"/>
      <c r="BG79" s="548"/>
      <c r="BH79" s="1164"/>
      <c r="BI79" s="1164"/>
      <c r="BJ79" s="1164"/>
      <c r="BK79" s="1164"/>
      <c r="BL79" s="1164"/>
      <c r="BM79" s="1636"/>
      <c r="BN79" s="570"/>
      <c r="BO79" s="570"/>
      <c r="BP79" s="570"/>
      <c r="BQ79" s="570"/>
      <c r="BR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W80" s="1164"/>
      <c r="AX80" s="1640"/>
      <c r="AY80" s="1640"/>
      <c r="AZ80" s="1164"/>
      <c r="BA80" s="1164"/>
      <c r="BB80" s="1164"/>
      <c r="BC80" s="1164"/>
      <c r="BD80" s="1640"/>
      <c r="BE80" s="1164"/>
      <c r="BF80" s="1164"/>
      <c r="BG80" s="548"/>
      <c r="BH80" s="1164"/>
      <c r="BI80" s="1164"/>
      <c r="BJ80" s="1164"/>
      <c r="BK80" s="1164"/>
      <c r="BL80" s="1164"/>
      <c r="BM80" s="1636"/>
      <c r="BN80" s="570"/>
      <c r="BO80" s="570"/>
      <c r="BP80" s="570"/>
      <c r="BQ80" s="570"/>
      <c r="BR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W81" s="1164"/>
      <c r="AX81" s="1640"/>
      <c r="AY81" s="1640"/>
      <c r="AZ81" s="1164"/>
      <c r="BA81" s="1164"/>
      <c r="BB81" s="1164"/>
      <c r="BC81" s="1164"/>
      <c r="BD81" s="1640"/>
      <c r="BE81" s="1164"/>
      <c r="BF81" s="1164"/>
      <c r="BG81" s="548"/>
      <c r="BH81" s="1164"/>
      <c r="BI81" s="1164"/>
      <c r="BJ81" s="1164"/>
      <c r="BK81" s="1164"/>
      <c r="BL81" s="1164"/>
      <c r="BM81" s="1636"/>
      <c r="BN81" s="570"/>
      <c r="BO81" s="570"/>
      <c r="BP81" s="570"/>
      <c r="BQ81" s="570"/>
      <c r="BR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W82" s="1164"/>
      <c r="AX82" s="1640"/>
      <c r="AY82" s="1640"/>
      <c r="AZ82" s="1164"/>
      <c r="BA82" s="1164"/>
      <c r="BB82" s="1164"/>
      <c r="BC82" s="1164"/>
      <c r="BD82" s="1640"/>
      <c r="BE82" s="1164"/>
      <c r="BF82" s="1164"/>
      <c r="BG82" s="548"/>
      <c r="BH82" s="1164"/>
      <c r="BI82" s="1164"/>
      <c r="BJ82" s="1164"/>
      <c r="BK82" s="1164"/>
      <c r="BL82" s="1164"/>
      <c r="BM82" s="1636"/>
      <c r="BN82" s="570"/>
      <c r="BO82" s="570"/>
      <c r="BP82" s="570"/>
      <c r="BQ82" s="570"/>
      <c r="BR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W83" s="1164"/>
      <c r="AX83" s="1640"/>
      <c r="AY83" s="1640"/>
      <c r="AZ83" s="1164"/>
      <c r="BA83" s="1164"/>
      <c r="BB83" s="1164"/>
      <c r="BC83" s="1164"/>
      <c r="BD83" s="1640"/>
      <c r="BE83" s="1164"/>
      <c r="BF83" s="1164"/>
      <c r="BG83" s="548"/>
      <c r="BH83" s="1164"/>
      <c r="BI83" s="1164"/>
      <c r="BJ83" s="1164"/>
      <c r="BK83" s="1164"/>
      <c r="BL83" s="1164"/>
      <c r="BM83" s="1636"/>
      <c r="BN83" s="570"/>
      <c r="BO83" s="570"/>
      <c r="BP83" s="570"/>
      <c r="BQ83" s="570"/>
      <c r="BR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W84" s="1164"/>
      <c r="AX84" s="1640"/>
      <c r="AY84" s="1640"/>
      <c r="AZ84" s="1164"/>
      <c r="BA84" s="1164"/>
      <c r="BB84" s="1164"/>
      <c r="BC84" s="1164"/>
      <c r="BD84" s="1640"/>
      <c r="BE84" s="1164"/>
      <c r="BF84" s="1164"/>
      <c r="BG84" s="548"/>
      <c r="BH84" s="1164"/>
      <c r="BI84" s="1164"/>
      <c r="BJ84" s="1164"/>
      <c r="BK84" s="1164"/>
      <c r="BL84" s="1164"/>
      <c r="BM84" s="1636"/>
      <c r="BN84" s="570"/>
      <c r="BO84" s="570"/>
      <c r="BP84" s="570"/>
      <c r="BQ84" s="570"/>
      <c r="BR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W85" s="1164"/>
      <c r="AX85" s="1640"/>
      <c r="AY85" s="1640"/>
      <c r="AZ85" s="1164"/>
      <c r="BA85" s="1164"/>
      <c r="BB85" s="1164"/>
      <c r="BC85" s="1164"/>
      <c r="BD85" s="1640"/>
      <c r="BE85" s="1164"/>
      <c r="BF85" s="1164"/>
      <c r="BG85" s="548"/>
      <c r="BH85" s="1164"/>
      <c r="BI85" s="1164"/>
      <c r="BJ85" s="1164"/>
      <c r="BK85" s="1164"/>
      <c r="BL85" s="1164"/>
      <c r="BM85" s="1636"/>
      <c r="BN85" s="570"/>
      <c r="BO85" s="570"/>
      <c r="BP85" s="570"/>
      <c r="BQ85" s="570"/>
      <c r="BR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W86" s="1164"/>
      <c r="AX86" s="1640"/>
      <c r="AY86" s="1640"/>
      <c r="AZ86" s="1164"/>
      <c r="BA86" s="1164"/>
      <c r="BB86" s="1164"/>
      <c r="BC86" s="1164"/>
      <c r="BD86" s="1640"/>
      <c r="BE86" s="1164"/>
      <c r="BF86" s="1164"/>
      <c r="BG86" s="548"/>
      <c r="BH86" s="1164"/>
      <c r="BI86" s="1164"/>
      <c r="BJ86" s="1164"/>
      <c r="BK86" s="1164"/>
      <c r="BL86" s="1164"/>
      <c r="BM86" s="1636"/>
      <c r="BN86" s="570"/>
      <c r="BO86" s="570"/>
      <c r="BP86" s="570"/>
      <c r="BQ86" s="570"/>
      <c r="BR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W87" s="1164"/>
      <c r="AX87" s="1640"/>
      <c r="AY87" s="1640"/>
      <c r="AZ87" s="1164"/>
      <c r="BA87" s="1164"/>
      <c r="BB87" s="1164"/>
      <c r="BC87" s="1164"/>
      <c r="BD87" s="1640"/>
      <c r="BE87" s="1164"/>
      <c r="BF87" s="1164"/>
      <c r="BG87" s="548"/>
      <c r="BH87" s="1164"/>
      <c r="BI87" s="1164"/>
      <c r="BJ87" s="1164"/>
      <c r="BK87" s="1164"/>
      <c r="BL87" s="1164"/>
      <c r="BM87" s="1636"/>
      <c r="BN87" s="570"/>
      <c r="BO87" s="570"/>
      <c r="BP87" s="570"/>
      <c r="BQ87" s="570"/>
      <c r="BR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W88" s="1164"/>
      <c r="AX88" s="1640"/>
      <c r="AY88" s="1640"/>
      <c r="AZ88" s="1164"/>
      <c r="BA88" s="1164"/>
      <c r="BB88" s="1164"/>
      <c r="BC88" s="1164"/>
      <c r="BD88" s="1640"/>
      <c r="BE88" s="1164"/>
      <c r="BF88" s="1164"/>
      <c r="BG88" s="548"/>
      <c r="BH88" s="1164"/>
      <c r="BI88" s="1164"/>
      <c r="BJ88" s="1164"/>
      <c r="BK88" s="1164"/>
      <c r="BL88" s="1164"/>
      <c r="BM88" s="1636"/>
      <c r="BN88" s="570"/>
      <c r="BO88" s="570"/>
      <c r="BP88" s="570"/>
      <c r="BQ88" s="570"/>
      <c r="BR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W89" s="1164"/>
      <c r="AX89" s="1640"/>
      <c r="AY89" s="1640"/>
      <c r="AZ89" s="1164"/>
      <c r="BA89" s="1164"/>
      <c r="BB89" s="1164"/>
      <c r="BC89" s="1164"/>
      <c r="BD89" s="1640"/>
      <c r="BE89" s="1164"/>
      <c r="BF89" s="1164"/>
      <c r="BG89" s="548"/>
      <c r="BH89" s="1164"/>
      <c r="BI89" s="1164"/>
      <c r="BJ89" s="1164"/>
      <c r="BK89" s="1164"/>
      <c r="BL89" s="1164"/>
      <c r="BM89" s="1636"/>
      <c r="BN89" s="570"/>
      <c r="BO89" s="570"/>
      <c r="BP89" s="570"/>
      <c r="BQ89" s="570"/>
      <c r="BR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W90" s="1164"/>
      <c r="AX90" s="1640"/>
      <c r="AY90" s="1640"/>
      <c r="AZ90" s="1164"/>
      <c r="BA90" s="1164"/>
      <c r="BB90" s="1164"/>
      <c r="BC90" s="1164"/>
      <c r="BD90" s="1640"/>
      <c r="BE90" s="1164"/>
      <c r="BF90" s="1164"/>
      <c r="BG90" s="548"/>
      <c r="BH90" s="1164"/>
      <c r="BI90" s="1164"/>
      <c r="BJ90" s="1164"/>
      <c r="BK90" s="1164"/>
      <c r="BL90" s="1164"/>
      <c r="BM90" s="1636"/>
      <c r="BN90" s="570"/>
      <c r="BO90" s="570"/>
      <c r="BP90" s="570"/>
      <c r="BQ90" s="570"/>
      <c r="BR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W91" s="1164"/>
      <c r="AX91" s="1640"/>
      <c r="AY91" s="1640"/>
      <c r="AZ91" s="1164"/>
      <c r="BA91" s="1164"/>
      <c r="BB91" s="1164"/>
      <c r="BC91" s="1164"/>
      <c r="BD91" s="1640"/>
      <c r="BE91" s="1164"/>
      <c r="BF91" s="1164"/>
      <c r="BG91" s="548"/>
      <c r="BH91" s="1164"/>
      <c r="BI91" s="1164"/>
      <c r="BJ91" s="1164"/>
      <c r="BK91" s="1164"/>
      <c r="BL91" s="1164"/>
      <c r="BM91" s="1636"/>
      <c r="BN91" s="570"/>
      <c r="BO91" s="570"/>
      <c r="BP91" s="570"/>
      <c r="BQ91" s="570"/>
      <c r="BR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W92" s="1164"/>
      <c r="AX92" s="1640"/>
      <c r="AY92" s="1640"/>
      <c r="AZ92" s="1164"/>
      <c r="BA92" s="1164"/>
      <c r="BB92" s="1164"/>
      <c r="BC92" s="1164"/>
      <c r="BD92" s="1640"/>
      <c r="BE92" s="1164"/>
      <c r="BF92" s="1164"/>
      <c r="BG92" s="548"/>
      <c r="BH92" s="1164"/>
      <c r="BI92" s="1164"/>
      <c r="BJ92" s="1164"/>
      <c r="BK92" s="1164"/>
      <c r="BL92" s="1164"/>
      <c r="BM92" s="1636"/>
      <c r="BN92" s="570"/>
      <c r="BO92" s="570"/>
      <c r="BP92" s="570"/>
      <c r="BQ92" s="570"/>
      <c r="BR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W93" s="1164"/>
      <c r="AX93" s="1640"/>
      <c r="AY93" s="1640"/>
      <c r="AZ93" s="1164"/>
      <c r="BA93" s="1164"/>
      <c r="BB93" s="1164"/>
      <c r="BC93" s="1164"/>
      <c r="BD93" s="1640"/>
      <c r="BE93" s="1164"/>
      <c r="BF93" s="1164"/>
      <c r="BG93" s="548"/>
      <c r="BH93" s="1164"/>
      <c r="BI93" s="1164"/>
      <c r="BJ93" s="1164"/>
      <c r="BK93" s="1164"/>
      <c r="BL93" s="1164"/>
      <c r="BM93" s="1636"/>
      <c r="BN93" s="570"/>
      <c r="BO93" s="570"/>
      <c r="BP93" s="570"/>
      <c r="BQ93" s="570"/>
      <c r="BR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W94" s="1164"/>
      <c r="AX94" s="1640"/>
      <c r="AY94" s="1640"/>
      <c r="AZ94" s="1164"/>
      <c r="BA94" s="1164"/>
      <c r="BB94" s="1164"/>
      <c r="BC94" s="1164"/>
      <c r="BD94" s="1640"/>
      <c r="BE94" s="1164"/>
      <c r="BF94" s="1164"/>
      <c r="BG94" s="548"/>
      <c r="BH94" s="1164"/>
      <c r="BI94" s="1164"/>
      <c r="BJ94" s="1164"/>
      <c r="BK94" s="1164"/>
      <c r="BL94" s="1164"/>
      <c r="BM94" s="1636"/>
      <c r="BN94" s="570"/>
      <c r="BO94" s="570"/>
      <c r="BP94" s="570"/>
      <c r="BQ94" s="570"/>
      <c r="BR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W95" s="1164"/>
      <c r="AX95" s="1640"/>
      <c r="AY95" s="1640"/>
      <c r="AZ95" s="1164"/>
      <c r="BA95" s="1164"/>
      <c r="BB95" s="1164"/>
      <c r="BC95" s="1164"/>
      <c r="BD95" s="1640"/>
      <c r="BE95" s="1164"/>
      <c r="BF95" s="1164"/>
      <c r="BG95" s="548"/>
      <c r="BH95" s="1164"/>
      <c r="BI95" s="1164"/>
      <c r="BJ95" s="1164"/>
      <c r="BK95" s="1164"/>
      <c r="BL95" s="1164"/>
      <c r="BM95" s="1636"/>
      <c r="BN95" s="570"/>
      <c r="BO95" s="570"/>
      <c r="BP95" s="570"/>
      <c r="BQ95" s="570"/>
      <c r="BR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W96" s="1164"/>
      <c r="AX96" s="1640"/>
      <c r="AY96" s="1640"/>
      <c r="AZ96" s="1164"/>
      <c r="BA96" s="1164"/>
      <c r="BB96" s="1164"/>
      <c r="BC96" s="1164"/>
      <c r="BD96" s="1640"/>
      <c r="BE96" s="1164"/>
      <c r="BF96" s="1164"/>
      <c r="BG96" s="548"/>
      <c r="BH96" s="1164"/>
      <c r="BI96" s="1164"/>
      <c r="BJ96" s="1164"/>
      <c r="BK96" s="1164"/>
      <c r="BL96" s="1164"/>
      <c r="BM96" s="1636"/>
      <c r="BN96" s="570"/>
      <c r="BO96" s="570"/>
      <c r="BP96" s="570"/>
      <c r="BQ96" s="570"/>
      <c r="BR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W97" s="1164"/>
      <c r="AX97" s="1640"/>
      <c r="AY97" s="1640"/>
      <c r="AZ97" s="1164"/>
      <c r="BA97" s="1164"/>
      <c r="BB97" s="1164"/>
      <c r="BC97" s="1164"/>
      <c r="BD97" s="1640"/>
      <c r="BE97" s="1164"/>
      <c r="BF97" s="1164"/>
      <c r="BG97" s="548"/>
      <c r="BH97" s="1164"/>
      <c r="BI97" s="1164"/>
      <c r="BJ97" s="1164"/>
      <c r="BK97" s="1164"/>
      <c r="BL97" s="1164"/>
      <c r="BM97" s="1636"/>
      <c r="BN97" s="570"/>
      <c r="BO97" s="570"/>
      <c r="BP97" s="570"/>
      <c r="BQ97" s="570"/>
      <c r="BR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W98" s="1164"/>
      <c r="AX98" s="1640"/>
      <c r="AY98" s="1640"/>
      <c r="AZ98" s="1164"/>
      <c r="BA98" s="1164"/>
      <c r="BB98" s="1164"/>
      <c r="BC98" s="1164"/>
      <c r="BD98" s="1640"/>
      <c r="BE98" s="1164"/>
      <c r="BF98" s="1164"/>
      <c r="BG98" s="548"/>
      <c r="BH98" s="1164"/>
      <c r="BI98" s="1164"/>
      <c r="BJ98" s="1164"/>
      <c r="BK98" s="1164"/>
      <c r="BL98" s="1164"/>
      <c r="BM98" s="1636"/>
      <c r="BN98" s="570"/>
      <c r="BO98" s="570"/>
      <c r="BP98" s="570"/>
      <c r="BQ98" s="570"/>
      <c r="BR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W99" s="1164"/>
      <c r="AX99" s="1640"/>
      <c r="AY99" s="1640"/>
      <c r="AZ99" s="1164"/>
      <c r="BA99" s="1164"/>
      <c r="BB99" s="1164"/>
      <c r="BC99" s="1164"/>
      <c r="BD99" s="1640"/>
      <c r="BE99" s="1164"/>
      <c r="BF99" s="1164"/>
      <c r="BG99" s="548"/>
      <c r="BH99" s="1164"/>
      <c r="BI99" s="1164"/>
      <c r="BJ99" s="1164"/>
      <c r="BK99" s="1164"/>
      <c r="BL99" s="1164"/>
      <c r="BM99" s="1636"/>
      <c r="BN99" s="570"/>
      <c r="BO99" s="570"/>
      <c r="BP99" s="570"/>
      <c r="BQ99" s="570"/>
      <c r="BR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W100" s="1164"/>
      <c r="AX100" s="1640"/>
      <c r="AY100" s="1640"/>
      <c r="AZ100" s="1164"/>
      <c r="BA100" s="1164"/>
      <c r="BB100" s="1164"/>
      <c r="BC100" s="1164"/>
      <c r="BD100" s="1640"/>
      <c r="BE100" s="1164"/>
      <c r="BF100" s="1164"/>
      <c r="BG100" s="548"/>
      <c r="BH100" s="1164"/>
      <c r="BI100" s="1164"/>
      <c r="BJ100" s="1164"/>
      <c r="BK100" s="1164"/>
      <c r="BL100" s="1164"/>
      <c r="BM100" s="1636"/>
      <c r="BN100" s="570"/>
      <c r="BO100" s="570"/>
      <c r="BP100" s="570"/>
      <c r="BQ100" s="570"/>
      <c r="BR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W101" s="1164"/>
      <c r="AX101" s="1640"/>
      <c r="AY101" s="1640"/>
      <c r="AZ101" s="1164"/>
      <c r="BA101" s="1164"/>
      <c r="BB101" s="1164"/>
      <c r="BC101" s="1164"/>
      <c r="BD101" s="1640"/>
      <c r="BE101" s="1164"/>
      <c r="BF101" s="1164"/>
      <c r="BG101" s="548"/>
      <c r="BH101" s="1164"/>
      <c r="BI101" s="1164"/>
      <c r="BJ101" s="1164"/>
      <c r="BK101" s="1164"/>
      <c r="BL101" s="1164"/>
      <c r="BM101" s="1636"/>
      <c r="BN101" s="570"/>
      <c r="BO101" s="570"/>
      <c r="BP101" s="570"/>
      <c r="BQ101" s="570"/>
      <c r="BR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W102" s="1164"/>
      <c r="AX102" s="1640"/>
      <c r="AY102" s="1640"/>
      <c r="AZ102" s="1164"/>
      <c r="BA102" s="1164"/>
      <c r="BB102" s="1164"/>
      <c r="BC102" s="1164"/>
      <c r="BD102" s="1640"/>
      <c r="BE102" s="1164"/>
      <c r="BF102" s="1164"/>
      <c r="BG102" s="548"/>
      <c r="BH102" s="1164"/>
      <c r="BI102" s="1164"/>
      <c r="BJ102" s="1164"/>
      <c r="BK102" s="1164"/>
      <c r="BL102" s="1164"/>
      <c r="BM102" s="1636"/>
      <c r="BN102" s="570"/>
      <c r="BO102" s="570"/>
      <c r="BP102" s="570"/>
      <c r="BQ102" s="570"/>
      <c r="BR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W103" s="1164"/>
      <c r="AX103" s="1640"/>
      <c r="AY103" s="1640"/>
      <c r="AZ103" s="1164"/>
      <c r="BA103" s="1164"/>
      <c r="BB103" s="1164"/>
      <c r="BC103" s="1164"/>
      <c r="BD103" s="1640"/>
      <c r="BE103" s="1164"/>
      <c r="BF103" s="1164"/>
      <c r="BG103" s="548"/>
      <c r="BH103" s="1164"/>
      <c r="BI103" s="1164"/>
      <c r="BJ103" s="1164"/>
      <c r="BK103" s="1164"/>
      <c r="BL103" s="1164"/>
      <c r="BM103" s="1636"/>
      <c r="BN103" s="570"/>
      <c r="BO103" s="570"/>
      <c r="BP103" s="570"/>
      <c r="BQ103" s="570"/>
      <c r="BR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W104" s="1164"/>
      <c r="AX104" s="1640"/>
      <c r="AY104" s="1640"/>
      <c r="AZ104" s="1164"/>
      <c r="BA104" s="1164"/>
      <c r="BB104" s="1164"/>
      <c r="BC104" s="1164"/>
      <c r="BD104" s="1640"/>
      <c r="BE104" s="1164"/>
      <c r="BF104" s="1164"/>
      <c r="BG104" s="548"/>
      <c r="BH104" s="1164"/>
      <c r="BI104" s="1164"/>
      <c r="BJ104" s="1164"/>
      <c r="BK104" s="1164"/>
      <c r="BL104" s="1164"/>
      <c r="BM104" s="1636"/>
      <c r="BN104" s="570"/>
      <c r="BO104" s="570"/>
      <c r="BP104" s="570"/>
      <c r="BQ104" s="570"/>
      <c r="BR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W105" s="1164"/>
      <c r="AX105" s="1640"/>
      <c r="AY105" s="1640"/>
      <c r="AZ105" s="1164"/>
      <c r="BA105" s="1164"/>
      <c r="BB105" s="1164"/>
      <c r="BC105" s="1164"/>
      <c r="BD105" s="1640"/>
      <c r="BE105" s="1164"/>
      <c r="BF105" s="1164"/>
      <c r="BG105" s="548"/>
      <c r="BH105" s="1164"/>
      <c r="BI105" s="1164"/>
      <c r="BJ105" s="1164"/>
      <c r="BK105" s="1164"/>
      <c r="BL105" s="1164"/>
      <c r="BM105" s="1636"/>
      <c r="BN105" s="570"/>
      <c r="BO105" s="570"/>
      <c r="BP105" s="570"/>
      <c r="BQ105" s="570"/>
      <c r="BR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W106" s="1164"/>
      <c r="AX106" s="1640"/>
      <c r="AY106" s="1640"/>
      <c r="AZ106" s="1164"/>
      <c r="BA106" s="1164"/>
      <c r="BB106" s="1164"/>
      <c r="BC106" s="1164"/>
      <c r="BD106" s="1640"/>
      <c r="BE106" s="1164"/>
      <c r="BF106" s="1164"/>
      <c r="BG106" s="548"/>
      <c r="BH106" s="1164"/>
      <c r="BI106" s="1164"/>
      <c r="BJ106" s="1164"/>
      <c r="BK106" s="1164"/>
      <c r="BL106" s="1164"/>
      <c r="BM106" s="1636"/>
      <c r="BN106" s="570"/>
      <c r="BO106" s="570"/>
      <c r="BP106" s="570"/>
      <c r="BQ106" s="570"/>
      <c r="BR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W107" s="1164"/>
      <c r="AX107" s="1640"/>
      <c r="AY107" s="1640"/>
      <c r="AZ107" s="1164"/>
      <c r="BA107" s="1164"/>
      <c r="BB107" s="1164"/>
      <c r="BC107" s="1164"/>
      <c r="BD107" s="1640"/>
      <c r="BE107" s="1164"/>
      <c r="BF107" s="1164"/>
      <c r="BG107" s="548"/>
      <c r="BH107" s="1164"/>
      <c r="BI107" s="1164"/>
      <c r="BJ107" s="1164"/>
      <c r="BK107" s="1164"/>
      <c r="BL107" s="1164"/>
      <c r="BM107" s="1636"/>
      <c r="BN107" s="570"/>
      <c r="BO107" s="570"/>
      <c r="BP107" s="570"/>
      <c r="BQ107" s="570"/>
      <c r="BR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W108" s="1164"/>
      <c r="AX108" s="1640"/>
      <c r="AY108" s="1640"/>
      <c r="AZ108" s="1164"/>
      <c r="BA108" s="1164"/>
      <c r="BB108" s="1164"/>
      <c r="BC108" s="1164"/>
      <c r="BD108" s="1640"/>
      <c r="BE108" s="1164"/>
      <c r="BF108" s="1164"/>
      <c r="BG108" s="548"/>
      <c r="BH108" s="1164"/>
      <c r="BI108" s="1164"/>
      <c r="BJ108" s="1164"/>
      <c r="BK108" s="1164"/>
      <c r="BL108" s="1164"/>
      <c r="BM108" s="1636"/>
      <c r="BN108" s="570"/>
      <c r="BO108" s="570"/>
      <c r="BP108" s="570"/>
      <c r="BQ108" s="570"/>
      <c r="BR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W109" s="1164"/>
      <c r="AX109" s="1640"/>
      <c r="AY109" s="1640"/>
      <c r="AZ109" s="1164"/>
      <c r="BA109" s="1164"/>
      <c r="BB109" s="1164"/>
      <c r="BC109" s="1164"/>
      <c r="BD109" s="1640"/>
      <c r="BE109" s="1164"/>
      <c r="BF109" s="1164"/>
      <c r="BG109" s="548"/>
      <c r="BH109" s="1164"/>
      <c r="BI109" s="1164"/>
      <c r="BJ109" s="1164"/>
      <c r="BK109" s="1164"/>
      <c r="BL109" s="1164"/>
      <c r="BM109" s="1636"/>
      <c r="BN109" s="570"/>
      <c r="BO109" s="570"/>
      <c r="BP109" s="570"/>
      <c r="BQ109" s="570"/>
      <c r="BR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W110" s="1164"/>
      <c r="AX110" s="1640"/>
      <c r="AY110" s="1640"/>
      <c r="AZ110" s="1164"/>
      <c r="BA110" s="1164"/>
      <c r="BB110" s="1164"/>
      <c r="BC110" s="1164"/>
      <c r="BD110" s="1640"/>
      <c r="BE110" s="1164"/>
      <c r="BF110" s="1164"/>
      <c r="BG110" s="548"/>
      <c r="BH110" s="1164"/>
      <c r="BI110" s="1164"/>
      <c r="BJ110" s="1164"/>
      <c r="BK110" s="1164"/>
      <c r="BL110" s="1164"/>
      <c r="BM110" s="1636"/>
      <c r="BN110" s="570"/>
      <c r="BO110" s="570"/>
      <c r="BP110" s="570"/>
      <c r="BQ110" s="570"/>
      <c r="BR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W111" s="1164"/>
      <c r="AX111" s="1640"/>
      <c r="AY111" s="1640"/>
      <c r="AZ111" s="1164"/>
      <c r="BA111" s="1164"/>
      <c r="BB111" s="1164"/>
      <c r="BC111" s="1164"/>
      <c r="BD111" s="1640"/>
      <c r="BE111" s="1164"/>
      <c r="BF111" s="1164"/>
      <c r="BG111" s="548"/>
      <c r="BH111" s="1164"/>
      <c r="BI111" s="1164"/>
      <c r="BJ111" s="1164"/>
      <c r="BK111" s="1164"/>
      <c r="BL111" s="1164"/>
      <c r="BM111" s="1636"/>
      <c r="BN111" s="570"/>
      <c r="BO111" s="570"/>
      <c r="BP111" s="570"/>
      <c r="BQ111" s="570"/>
      <c r="BR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W112" s="1164"/>
      <c r="AX112" s="1640"/>
      <c r="AY112" s="1640"/>
      <c r="AZ112" s="1164"/>
      <c r="BA112" s="1164"/>
      <c r="BB112" s="1164"/>
      <c r="BC112" s="1164"/>
      <c r="BD112" s="1640"/>
      <c r="BE112" s="1164"/>
      <c r="BF112" s="1164"/>
      <c r="BG112" s="548"/>
      <c r="BH112" s="1164"/>
      <c r="BI112" s="1164"/>
      <c r="BJ112" s="1164"/>
      <c r="BK112" s="1164"/>
      <c r="BL112" s="1164"/>
      <c r="BM112" s="1636"/>
      <c r="BN112" s="570"/>
      <c r="BO112" s="570"/>
      <c r="BP112" s="570"/>
      <c r="BQ112" s="570"/>
      <c r="BR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W113" s="1164"/>
      <c r="AX113" s="1640"/>
      <c r="AY113" s="1640"/>
      <c r="AZ113" s="1164"/>
      <c r="BA113" s="1164"/>
      <c r="BB113" s="1164"/>
      <c r="BC113" s="1164"/>
      <c r="BD113" s="1640"/>
      <c r="BE113" s="1164"/>
      <c r="BF113" s="1164"/>
      <c r="BG113" s="548"/>
      <c r="BH113" s="1164"/>
      <c r="BI113" s="1164"/>
      <c r="BJ113" s="1164"/>
      <c r="BK113" s="1164"/>
      <c r="BL113" s="1164"/>
      <c r="BM113" s="1636"/>
      <c r="BN113" s="570"/>
      <c r="BO113" s="570"/>
      <c r="BP113" s="570"/>
      <c r="BQ113" s="570"/>
      <c r="BR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W114" s="1164"/>
      <c r="AX114" s="1640"/>
      <c r="AY114" s="1640"/>
      <c r="AZ114" s="1164"/>
      <c r="BA114" s="1164"/>
      <c r="BB114" s="1164"/>
      <c r="BC114" s="1164"/>
      <c r="BD114" s="1640"/>
      <c r="BE114" s="1164"/>
      <c r="BF114" s="1164"/>
      <c r="BG114" s="548"/>
      <c r="BH114" s="1164"/>
      <c r="BI114" s="1164"/>
      <c r="BJ114" s="1164"/>
      <c r="BK114" s="1164"/>
      <c r="BL114" s="1164"/>
      <c r="BM114" s="1636"/>
      <c r="BN114" s="570"/>
      <c r="BO114" s="570"/>
      <c r="BP114" s="570"/>
      <c r="BQ114" s="570"/>
      <c r="BR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W115" s="1164"/>
      <c r="AX115" s="1640"/>
      <c r="AY115" s="1640"/>
      <c r="AZ115" s="1164"/>
      <c r="BA115" s="1164"/>
      <c r="BB115" s="1164"/>
      <c r="BC115" s="1164"/>
      <c r="BD115" s="1640"/>
      <c r="BE115" s="1164"/>
      <c r="BF115" s="1164"/>
      <c r="BG115" s="548"/>
      <c r="BH115" s="1164"/>
      <c r="BI115" s="1164"/>
      <c r="BJ115" s="1164"/>
      <c r="BK115" s="1164"/>
      <c r="BL115" s="1164"/>
      <c r="BM115" s="1636"/>
      <c r="BN115" s="570"/>
      <c r="BO115" s="570"/>
      <c r="BP115" s="570"/>
      <c r="BQ115" s="570"/>
      <c r="BR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W116" s="1164"/>
      <c r="AX116" s="1640"/>
      <c r="AY116" s="1640"/>
      <c r="AZ116" s="1164"/>
      <c r="BA116" s="1164"/>
      <c r="BB116" s="1164"/>
      <c r="BC116" s="1164"/>
      <c r="BD116" s="1640"/>
      <c r="BE116" s="1164"/>
      <c r="BF116" s="1164"/>
      <c r="BG116" s="548"/>
      <c r="BH116" s="1164"/>
      <c r="BI116" s="1164"/>
      <c r="BJ116" s="1164"/>
      <c r="BK116" s="1164"/>
      <c r="BL116" s="1164"/>
      <c r="BM116" s="1636"/>
      <c r="BN116" s="570"/>
      <c r="BO116" s="570"/>
      <c r="BP116" s="570"/>
      <c r="BQ116" s="570"/>
      <c r="BR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W117" s="1164"/>
      <c r="AX117" s="1640"/>
      <c r="AY117" s="1640"/>
      <c r="AZ117" s="1164"/>
      <c r="BA117" s="1164"/>
      <c r="BB117" s="1164"/>
      <c r="BC117" s="1164"/>
      <c r="BD117" s="1640"/>
      <c r="BE117" s="1164"/>
      <c r="BF117" s="1164"/>
      <c r="BG117" s="548"/>
      <c r="BH117" s="1164"/>
      <c r="BI117" s="1164"/>
      <c r="BJ117" s="1164"/>
      <c r="BK117" s="1164"/>
      <c r="BL117" s="1164"/>
      <c r="BM117" s="1636"/>
      <c r="BN117" s="570"/>
      <c r="BO117" s="570"/>
      <c r="BP117" s="570"/>
      <c r="BQ117" s="570"/>
      <c r="BR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W118" s="1164"/>
      <c r="AX118" s="1640"/>
      <c r="AY118" s="1640"/>
      <c r="AZ118" s="1164"/>
      <c r="BA118" s="1164"/>
      <c r="BB118" s="1164"/>
      <c r="BC118" s="1164"/>
      <c r="BD118" s="1640"/>
      <c r="BE118" s="1164"/>
      <c r="BF118" s="1164"/>
      <c r="BG118" s="548"/>
      <c r="BH118" s="1164"/>
      <c r="BI118" s="1164"/>
      <c r="BJ118" s="1164"/>
      <c r="BK118" s="1164"/>
      <c r="BL118" s="1164"/>
      <c r="BM118" s="1636"/>
      <c r="BN118" s="570"/>
      <c r="BO118" s="570"/>
      <c r="BP118" s="570"/>
      <c r="BQ118" s="570"/>
      <c r="BR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W119" s="1164"/>
      <c r="AX119" s="1640"/>
      <c r="AY119" s="1640"/>
      <c r="AZ119" s="1164"/>
      <c r="BA119" s="1164"/>
      <c r="BB119" s="1164"/>
      <c r="BC119" s="1164"/>
      <c r="BD119" s="1640"/>
      <c r="BE119" s="1164"/>
      <c r="BF119" s="1164"/>
      <c r="BG119" s="548"/>
      <c r="BH119" s="1164"/>
      <c r="BI119" s="1164"/>
      <c r="BJ119" s="1164"/>
      <c r="BK119" s="1164"/>
      <c r="BL119" s="1164"/>
      <c r="BM119" s="1636"/>
      <c r="BN119" s="570"/>
      <c r="BO119" s="570"/>
      <c r="BP119" s="570"/>
      <c r="BQ119" s="570"/>
      <c r="BR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W120" s="1164"/>
      <c r="AX120" s="1640"/>
      <c r="AY120" s="1640"/>
      <c r="AZ120" s="1164"/>
      <c r="BA120" s="1164"/>
      <c r="BB120" s="1164"/>
      <c r="BC120" s="1164"/>
      <c r="BD120" s="1640"/>
      <c r="BE120" s="1164"/>
      <c r="BF120" s="1164"/>
      <c r="BG120" s="548"/>
      <c r="BH120" s="1164"/>
      <c r="BI120" s="1164"/>
      <c r="BJ120" s="1164"/>
      <c r="BK120" s="1164"/>
      <c r="BL120" s="1164"/>
      <c r="BM120" s="1636"/>
      <c r="BN120" s="570"/>
      <c r="BO120" s="570"/>
      <c r="BP120" s="570"/>
      <c r="BQ120" s="570"/>
      <c r="BR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W121" s="1164"/>
      <c r="AX121" s="1640"/>
      <c r="AY121" s="1640"/>
      <c r="AZ121" s="1164"/>
      <c r="BA121" s="1164"/>
      <c r="BB121" s="1164"/>
      <c r="BC121" s="1164"/>
      <c r="BD121" s="1640"/>
      <c r="BE121" s="1164"/>
      <c r="BF121" s="1164"/>
      <c r="BG121" s="548"/>
      <c r="BH121" s="1164"/>
      <c r="BI121" s="1164"/>
      <c r="BJ121" s="1164"/>
      <c r="BK121" s="1164"/>
      <c r="BL121" s="1164"/>
      <c r="BM121" s="1636"/>
      <c r="BN121" s="570"/>
      <c r="BO121" s="570"/>
      <c r="BP121" s="570"/>
      <c r="BQ121" s="570"/>
      <c r="BR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W122" s="1164"/>
      <c r="AX122" s="1640"/>
      <c r="AY122" s="1640"/>
      <c r="AZ122" s="1164"/>
      <c r="BA122" s="1164"/>
      <c r="BB122" s="1164"/>
      <c r="BC122" s="1164"/>
      <c r="BD122" s="1640"/>
      <c r="BE122" s="1164"/>
      <c r="BF122" s="1164"/>
      <c r="BG122" s="548"/>
      <c r="BH122" s="1164"/>
      <c r="BI122" s="1164"/>
      <c r="BJ122" s="1164"/>
      <c r="BK122" s="1164"/>
      <c r="BL122" s="1164"/>
      <c r="BM122" s="1636"/>
      <c r="BN122" s="570"/>
      <c r="BO122" s="570"/>
      <c r="BP122" s="570"/>
      <c r="BQ122" s="570"/>
      <c r="BR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W123" s="1164"/>
      <c r="AX123" s="1640"/>
      <c r="AY123" s="1640"/>
      <c r="AZ123" s="1164"/>
      <c r="BA123" s="1164"/>
      <c r="BB123" s="1164"/>
      <c r="BC123" s="1164"/>
      <c r="BD123" s="1640"/>
      <c r="BE123" s="1164"/>
      <c r="BF123" s="1164"/>
      <c r="BG123" s="548"/>
      <c r="BH123" s="1164"/>
      <c r="BI123" s="1164"/>
      <c r="BJ123" s="1164"/>
      <c r="BK123" s="1164"/>
      <c r="BL123" s="1164"/>
      <c r="BM123" s="1636"/>
      <c r="BN123" s="570"/>
      <c r="BO123" s="570"/>
      <c r="BP123" s="570"/>
      <c r="BQ123" s="570"/>
      <c r="BR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W124" s="1164"/>
      <c r="AX124" s="1640"/>
      <c r="AY124" s="1640"/>
      <c r="AZ124" s="1164"/>
      <c r="BA124" s="1164"/>
      <c r="BB124" s="1164"/>
      <c r="BC124" s="1164"/>
      <c r="BD124" s="1640"/>
      <c r="BE124" s="1164"/>
      <c r="BF124" s="1164"/>
      <c r="BG124" s="548"/>
      <c r="BH124" s="1164"/>
      <c r="BI124" s="1164"/>
      <c r="BJ124" s="1164"/>
      <c r="BK124" s="1164"/>
      <c r="BL124" s="1164"/>
      <c r="BM124" s="1636"/>
      <c r="BN124" s="570"/>
      <c r="BO124" s="570"/>
      <c r="BP124" s="570"/>
      <c r="BQ124" s="570"/>
      <c r="BR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W125" s="1164"/>
      <c r="AX125" s="1640"/>
      <c r="AY125" s="1640"/>
      <c r="AZ125" s="1164"/>
      <c r="BA125" s="1164"/>
      <c r="BB125" s="1164"/>
      <c r="BC125" s="1164"/>
      <c r="BD125" s="1640"/>
      <c r="BE125" s="1164"/>
      <c r="BF125" s="1164"/>
      <c r="BG125" s="548"/>
      <c r="BH125" s="1164"/>
      <c r="BI125" s="1164"/>
      <c r="BJ125" s="1164"/>
      <c r="BK125" s="1164"/>
      <c r="BL125" s="1164"/>
      <c r="BM125" s="1636"/>
      <c r="BN125" s="570"/>
      <c r="BO125" s="570"/>
      <c r="BP125" s="570"/>
      <c r="BQ125" s="570"/>
      <c r="BR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W126" s="1164"/>
      <c r="AX126" s="1640"/>
      <c r="AY126" s="1640"/>
      <c r="AZ126" s="1164"/>
      <c r="BA126" s="1164"/>
      <c r="BB126" s="1164"/>
      <c r="BC126" s="1164"/>
      <c r="BD126" s="1640"/>
      <c r="BE126" s="1164"/>
      <c r="BF126" s="1164"/>
      <c r="BG126" s="548"/>
      <c r="BH126" s="1164"/>
      <c r="BI126" s="1164"/>
      <c r="BJ126" s="1164"/>
      <c r="BK126" s="1164"/>
      <c r="BL126" s="1164"/>
      <c r="BM126" s="1636"/>
      <c r="BN126" s="570"/>
      <c r="BO126" s="570"/>
      <c r="BP126" s="570"/>
      <c r="BQ126" s="570"/>
      <c r="BR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W127" s="1164"/>
      <c r="AX127" s="1640"/>
      <c r="AY127" s="1640"/>
      <c r="AZ127" s="1164"/>
      <c r="BA127" s="1164"/>
      <c r="BB127" s="1164"/>
      <c r="BC127" s="1164"/>
      <c r="BD127" s="1640"/>
      <c r="BE127" s="1164"/>
      <c r="BF127" s="1164"/>
      <c r="BG127" s="548"/>
      <c r="BH127" s="1164"/>
      <c r="BI127" s="1164"/>
      <c r="BJ127" s="1164"/>
      <c r="BK127" s="1164"/>
      <c r="BL127" s="1164"/>
      <c r="BM127" s="1636"/>
      <c r="BN127" s="570"/>
      <c r="BO127" s="570"/>
      <c r="BP127" s="570"/>
      <c r="BQ127" s="570"/>
      <c r="BR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W128" s="1164"/>
      <c r="AX128" s="1640"/>
      <c r="AY128" s="1640"/>
      <c r="AZ128" s="1164"/>
      <c r="BA128" s="1164"/>
      <c r="BB128" s="1164"/>
      <c r="BC128" s="1164"/>
      <c r="BD128" s="1640"/>
      <c r="BE128" s="1164"/>
      <c r="BF128" s="1164"/>
      <c r="BG128" s="548"/>
      <c r="BH128" s="1164"/>
      <c r="BI128" s="1164"/>
      <c r="BJ128" s="1164"/>
      <c r="BK128" s="1164"/>
      <c r="BL128" s="1164"/>
      <c r="BM128" s="1636"/>
      <c r="BN128" s="570"/>
      <c r="BO128" s="570"/>
      <c r="BP128" s="570"/>
      <c r="BQ128" s="570"/>
      <c r="BR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W129" s="1164"/>
      <c r="AX129" s="1640"/>
      <c r="AY129" s="1640"/>
      <c r="AZ129" s="1164"/>
      <c r="BA129" s="1164"/>
      <c r="BB129" s="1164"/>
      <c r="BC129" s="1164"/>
      <c r="BD129" s="1640"/>
      <c r="BE129" s="1164"/>
      <c r="BF129" s="1164"/>
      <c r="BG129" s="548"/>
      <c r="BH129" s="1164"/>
      <c r="BI129" s="1164"/>
      <c r="BJ129" s="1164"/>
      <c r="BK129" s="1164"/>
      <c r="BL129" s="1164"/>
      <c r="BM129" s="1636"/>
      <c r="BN129" s="570"/>
      <c r="BO129" s="570"/>
      <c r="BP129" s="570"/>
      <c r="BQ129" s="570"/>
      <c r="BR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W130" s="1164"/>
      <c r="AX130" s="1640"/>
      <c r="AY130" s="1640"/>
      <c r="AZ130" s="1164"/>
      <c r="BA130" s="1164"/>
      <c r="BB130" s="1164"/>
      <c r="BC130" s="1164"/>
      <c r="BD130" s="1640"/>
      <c r="BE130" s="1164"/>
      <c r="BF130" s="1164"/>
      <c r="BG130" s="548"/>
      <c r="BH130" s="1164"/>
      <c r="BI130" s="1164"/>
      <c r="BJ130" s="1164"/>
      <c r="BK130" s="1164"/>
      <c r="BL130" s="1164"/>
      <c r="BM130" s="1636"/>
      <c r="BN130" s="570"/>
      <c r="BO130" s="570"/>
      <c r="BP130" s="570"/>
      <c r="BQ130" s="570"/>
      <c r="BR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W131" s="1164"/>
      <c r="AX131" s="1640"/>
      <c r="AY131" s="1640"/>
      <c r="AZ131" s="1164"/>
      <c r="BA131" s="1164"/>
      <c r="BB131" s="1164"/>
      <c r="BC131" s="1164"/>
      <c r="BD131" s="1640"/>
      <c r="BE131" s="1164"/>
      <c r="BF131" s="1164"/>
      <c r="BG131" s="548"/>
      <c r="BH131" s="1164"/>
      <c r="BI131" s="1164"/>
      <c r="BJ131" s="1164"/>
      <c r="BK131" s="1164"/>
      <c r="BL131" s="1164"/>
      <c r="BM131" s="1636"/>
      <c r="BN131" s="570"/>
      <c r="BO131" s="570"/>
      <c r="BP131" s="570"/>
      <c r="BQ131" s="570"/>
      <c r="BR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W132" s="1164"/>
      <c r="AX132" s="1640"/>
      <c r="AY132" s="1640"/>
      <c r="AZ132" s="1164"/>
      <c r="BA132" s="1164"/>
      <c r="BB132" s="1164"/>
      <c r="BC132" s="1164"/>
      <c r="BD132" s="1640"/>
      <c r="BE132" s="1164"/>
      <c r="BF132" s="1164"/>
      <c r="BG132" s="548"/>
      <c r="BH132" s="1164"/>
      <c r="BI132" s="1164"/>
      <c r="BJ132" s="1164"/>
      <c r="BK132" s="1164"/>
      <c r="BL132" s="1164"/>
      <c r="BM132" s="1636"/>
      <c r="BN132" s="570"/>
      <c r="BO132" s="570"/>
      <c r="BP132" s="570"/>
      <c r="BQ132" s="570"/>
      <c r="BR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W133" s="1164"/>
      <c r="AX133" s="1640"/>
      <c r="AY133" s="1640"/>
      <c r="AZ133" s="1164"/>
      <c r="BA133" s="1164"/>
      <c r="BB133" s="1164"/>
      <c r="BC133" s="1164"/>
      <c r="BD133" s="1640"/>
      <c r="BE133" s="1164"/>
      <c r="BF133" s="1164"/>
      <c r="BG133" s="548"/>
      <c r="BH133" s="1164"/>
      <c r="BI133" s="1164"/>
      <c r="BJ133" s="1164"/>
      <c r="BK133" s="1164"/>
      <c r="BL133" s="1164"/>
      <c r="BM133" s="1636"/>
      <c r="BN133" s="570"/>
      <c r="BO133" s="570"/>
      <c r="BP133" s="570"/>
      <c r="BQ133" s="570"/>
      <c r="BR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W134" s="1164"/>
      <c r="AX134" s="1640"/>
      <c r="AY134" s="1640"/>
      <c r="AZ134" s="1164"/>
      <c r="BA134" s="1164"/>
      <c r="BB134" s="1164"/>
      <c r="BC134" s="1164"/>
      <c r="BD134" s="1640"/>
      <c r="BE134" s="1164"/>
      <c r="BF134" s="1164"/>
      <c r="BG134" s="548"/>
      <c r="BH134" s="1164"/>
      <c r="BI134" s="1164"/>
      <c r="BJ134" s="1164"/>
      <c r="BK134" s="1164"/>
      <c r="BL134" s="1164"/>
      <c r="BM134" s="1636"/>
      <c r="BN134" s="570"/>
      <c r="BO134" s="570"/>
      <c r="BP134" s="570"/>
      <c r="BQ134" s="570"/>
      <c r="BR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W135" s="1164"/>
      <c r="AX135" s="1640"/>
      <c r="AY135" s="1640"/>
      <c r="AZ135" s="1164"/>
      <c r="BA135" s="1164"/>
      <c r="BB135" s="1164"/>
      <c r="BC135" s="1164"/>
      <c r="BD135" s="1640"/>
      <c r="BE135" s="1164"/>
      <c r="BF135" s="1164"/>
      <c r="BG135" s="548"/>
      <c r="BH135" s="1164"/>
      <c r="BI135" s="1164"/>
      <c r="BJ135" s="1164"/>
      <c r="BK135" s="1164"/>
      <c r="BL135" s="1164"/>
      <c r="BM135" s="1636"/>
      <c r="BN135" s="570"/>
      <c r="BO135" s="570"/>
      <c r="BP135" s="570"/>
      <c r="BQ135" s="570"/>
      <c r="BR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W136" s="1164"/>
      <c r="AX136" s="1640"/>
      <c r="AY136" s="1640"/>
      <c r="AZ136" s="1164"/>
      <c r="BA136" s="1164"/>
      <c r="BB136" s="1164"/>
      <c r="BC136" s="1164"/>
      <c r="BD136" s="1640"/>
      <c r="BE136" s="1164"/>
      <c r="BF136" s="1164"/>
      <c r="BG136" s="548"/>
      <c r="BH136" s="1164"/>
      <c r="BI136" s="1164"/>
      <c r="BJ136" s="1164"/>
      <c r="BK136" s="1164"/>
      <c r="BL136" s="1164"/>
      <c r="BM136" s="1636"/>
      <c r="BN136" s="570"/>
      <c r="BO136" s="570"/>
      <c r="BP136" s="570"/>
      <c r="BQ136" s="570"/>
      <c r="BR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W137" s="1164"/>
      <c r="AX137" s="1640"/>
      <c r="AY137" s="1640"/>
      <c r="AZ137" s="1164"/>
      <c r="BA137" s="1164"/>
      <c r="BB137" s="1164"/>
      <c r="BC137" s="1164"/>
      <c r="BD137" s="1640"/>
      <c r="BE137" s="1164"/>
      <c r="BF137" s="1164"/>
      <c r="BG137" s="548"/>
      <c r="BH137" s="1164"/>
      <c r="BI137" s="1164"/>
      <c r="BJ137" s="1164"/>
      <c r="BK137" s="1164"/>
      <c r="BL137" s="1164"/>
      <c r="BM137" s="1636"/>
      <c r="BN137" s="570"/>
      <c r="BO137" s="570"/>
      <c r="BP137" s="570"/>
      <c r="BQ137" s="570"/>
      <c r="BR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W138" s="1164"/>
      <c r="AX138" s="1640"/>
      <c r="AY138" s="1640"/>
      <c r="AZ138" s="1164"/>
      <c r="BA138" s="1164"/>
      <c r="BB138" s="1164"/>
      <c r="BC138" s="1164"/>
      <c r="BD138" s="1640"/>
      <c r="BE138" s="1164"/>
      <c r="BF138" s="1164"/>
      <c r="BG138" s="548"/>
      <c r="BH138" s="1164"/>
      <c r="BI138" s="1164"/>
      <c r="BJ138" s="1164"/>
      <c r="BK138" s="1164"/>
      <c r="BL138" s="1164"/>
      <c r="BM138" s="1636"/>
      <c r="BN138" s="570"/>
      <c r="BO138" s="570"/>
      <c r="BP138" s="570"/>
      <c r="BQ138" s="570"/>
      <c r="BR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W139" s="1164"/>
      <c r="AX139" s="1640"/>
      <c r="AY139" s="1640"/>
      <c r="AZ139" s="1164"/>
      <c r="BA139" s="1164"/>
      <c r="BB139" s="1164"/>
      <c r="BC139" s="1164"/>
      <c r="BD139" s="1640"/>
      <c r="BE139" s="1164"/>
      <c r="BF139" s="1164"/>
      <c r="BG139" s="548"/>
      <c r="BH139" s="1164"/>
      <c r="BI139" s="1164"/>
      <c r="BJ139" s="1164"/>
      <c r="BK139" s="1164"/>
      <c r="BL139" s="1164"/>
      <c r="BM139" s="1636"/>
      <c r="BN139" s="570"/>
      <c r="BO139" s="570"/>
      <c r="BP139" s="570"/>
      <c r="BQ139" s="570"/>
      <c r="BR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W140" s="1164"/>
      <c r="AX140" s="1640"/>
      <c r="AY140" s="1640"/>
      <c r="AZ140" s="1164"/>
      <c r="BA140" s="1164"/>
      <c r="BB140" s="1164"/>
      <c r="BC140" s="1164"/>
      <c r="BD140" s="1640"/>
      <c r="BE140" s="1164"/>
      <c r="BF140" s="1164"/>
      <c r="BG140" s="548"/>
      <c r="BH140" s="1164"/>
      <c r="BI140" s="1164"/>
      <c r="BJ140" s="1164"/>
      <c r="BK140" s="1164"/>
      <c r="BL140" s="1164"/>
      <c r="BM140" s="1636"/>
      <c r="BN140" s="570"/>
      <c r="BO140" s="570"/>
      <c r="BP140" s="570"/>
      <c r="BQ140" s="570"/>
      <c r="BR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W141" s="1164"/>
      <c r="AX141" s="1640"/>
      <c r="AY141" s="1640"/>
      <c r="AZ141" s="1164"/>
      <c r="BA141" s="1164"/>
      <c r="BB141" s="1164"/>
      <c r="BC141" s="1164"/>
      <c r="BD141" s="1640"/>
      <c r="BE141" s="1164"/>
      <c r="BF141" s="1164"/>
      <c r="BG141" s="548"/>
      <c r="BH141" s="1164"/>
      <c r="BI141" s="1164"/>
      <c r="BJ141" s="1164"/>
      <c r="BK141" s="1164"/>
      <c r="BL141" s="1164"/>
      <c r="BM141" s="1636"/>
      <c r="BN141" s="570"/>
      <c r="BO141" s="570"/>
      <c r="BP141" s="570"/>
      <c r="BQ141" s="570"/>
      <c r="BR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W142" s="1164"/>
      <c r="AX142" s="1640"/>
      <c r="AY142" s="1640"/>
      <c r="AZ142" s="1164"/>
      <c r="BA142" s="1164"/>
      <c r="BB142" s="1164"/>
      <c r="BC142" s="1164"/>
      <c r="BD142" s="1640"/>
      <c r="BE142" s="1164"/>
      <c r="BF142" s="1164"/>
      <c r="BG142" s="548"/>
      <c r="BH142" s="1164"/>
      <c r="BI142" s="1164"/>
      <c r="BJ142" s="1164"/>
      <c r="BK142" s="1164"/>
      <c r="BL142" s="1164"/>
      <c r="BM142" s="1636"/>
      <c r="BN142" s="570"/>
      <c r="BO142" s="570"/>
      <c r="BP142" s="570"/>
      <c r="BQ142" s="570"/>
      <c r="BR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W143" s="1164"/>
      <c r="AX143" s="1640"/>
      <c r="AY143" s="1640"/>
      <c r="AZ143" s="1164"/>
      <c r="BA143" s="1164"/>
      <c r="BB143" s="1164"/>
      <c r="BC143" s="1164"/>
      <c r="BD143" s="1640"/>
      <c r="BE143" s="1164"/>
      <c r="BF143" s="1164"/>
      <c r="BG143" s="548"/>
      <c r="BH143" s="1164"/>
      <c r="BI143" s="1164"/>
      <c r="BJ143" s="1164"/>
      <c r="BK143" s="1164"/>
      <c r="BL143" s="1164"/>
      <c r="BM143" s="1636"/>
      <c r="BN143" s="570"/>
      <c r="BO143" s="570"/>
      <c r="BP143" s="570"/>
      <c r="BQ143" s="570"/>
      <c r="BR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W144" s="1164"/>
      <c r="AX144" s="1640"/>
      <c r="AY144" s="1640"/>
      <c r="AZ144" s="1164"/>
      <c r="BA144" s="1164"/>
      <c r="BB144" s="1164"/>
      <c r="BC144" s="1164"/>
      <c r="BD144" s="1640"/>
      <c r="BE144" s="1164"/>
      <c r="BF144" s="1164"/>
      <c r="BG144" s="548"/>
      <c r="BH144" s="1164"/>
      <c r="BI144" s="1164"/>
      <c r="BJ144" s="1164"/>
      <c r="BK144" s="1164"/>
      <c r="BL144" s="1164"/>
      <c r="BM144" s="1636"/>
      <c r="BN144" s="570"/>
      <c r="BO144" s="570"/>
      <c r="BP144" s="570"/>
      <c r="BQ144" s="570"/>
      <c r="BR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W145" s="1164"/>
      <c r="AX145" s="1640"/>
      <c r="AY145" s="1640"/>
      <c r="AZ145" s="1164"/>
      <c r="BA145" s="1164"/>
      <c r="BB145" s="1164"/>
      <c r="BC145" s="1164"/>
      <c r="BD145" s="1640"/>
      <c r="BE145" s="1164"/>
      <c r="BF145" s="1164"/>
      <c r="BG145" s="548"/>
      <c r="BH145" s="1164"/>
      <c r="BI145" s="1164"/>
      <c r="BJ145" s="1164"/>
      <c r="BK145" s="1164"/>
      <c r="BL145" s="1164"/>
      <c r="BM145" s="1636"/>
      <c r="BN145" s="570"/>
      <c r="BO145" s="570"/>
      <c r="BP145" s="570"/>
      <c r="BQ145" s="570"/>
      <c r="BR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W146" s="1164"/>
      <c r="AX146" s="1640"/>
      <c r="AY146" s="1640"/>
      <c r="AZ146" s="1164"/>
      <c r="BA146" s="1164"/>
      <c r="BB146" s="1164"/>
      <c r="BC146" s="1164"/>
      <c r="BD146" s="1640"/>
      <c r="BE146" s="1164"/>
      <c r="BF146" s="1164"/>
      <c r="BG146" s="548"/>
      <c r="BH146" s="1164"/>
      <c r="BI146" s="1164"/>
      <c r="BJ146" s="1164"/>
      <c r="BK146" s="1164"/>
      <c r="BL146" s="1164"/>
      <c r="BM146" s="1636"/>
      <c r="BN146" s="570"/>
      <c r="BO146" s="570"/>
      <c r="BP146" s="570"/>
      <c r="BQ146" s="570"/>
      <c r="BR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W147" s="1164"/>
      <c r="AX147" s="1640"/>
      <c r="AY147" s="1640"/>
      <c r="AZ147" s="1164"/>
      <c r="BA147" s="1164"/>
      <c r="BB147" s="1164"/>
      <c r="BC147" s="1164"/>
      <c r="BD147" s="1640"/>
      <c r="BE147" s="1164"/>
      <c r="BF147" s="1164"/>
      <c r="BG147" s="548"/>
      <c r="BH147" s="1164"/>
      <c r="BI147" s="1164"/>
      <c r="BJ147" s="1164"/>
      <c r="BK147" s="1164"/>
      <c r="BL147" s="1164"/>
      <c r="BM147" s="1636"/>
      <c r="BN147" s="570"/>
      <c r="BO147" s="570"/>
      <c r="BP147" s="570"/>
      <c r="BQ147" s="570"/>
      <c r="BR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W148" s="1164"/>
      <c r="AX148" s="1640"/>
      <c r="AY148" s="1640"/>
      <c r="AZ148" s="1164"/>
      <c r="BA148" s="1164"/>
      <c r="BB148" s="1164"/>
      <c r="BC148" s="1164"/>
      <c r="BD148" s="1640"/>
      <c r="BE148" s="1164"/>
      <c r="BF148" s="1164"/>
      <c r="BG148" s="548"/>
      <c r="BH148" s="1164"/>
      <c r="BI148" s="1164"/>
      <c r="BJ148" s="1164"/>
      <c r="BK148" s="1164"/>
      <c r="BL148" s="1164"/>
      <c r="BM148" s="1636"/>
      <c r="BN148" s="570"/>
      <c r="BO148" s="570"/>
      <c r="BP148" s="570"/>
      <c r="BQ148" s="570"/>
      <c r="BR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W149" s="1164"/>
      <c r="AX149" s="1640"/>
      <c r="AY149" s="1640"/>
      <c r="AZ149" s="1164"/>
      <c r="BA149" s="1164"/>
      <c r="BB149" s="1164"/>
      <c r="BC149" s="1164"/>
      <c r="BD149" s="1640"/>
      <c r="BE149" s="1164"/>
      <c r="BF149" s="1164"/>
      <c r="BG149" s="548"/>
      <c r="BH149" s="1164"/>
      <c r="BI149" s="1164"/>
      <c r="BJ149" s="1164"/>
      <c r="BK149" s="1164"/>
      <c r="BL149" s="1164"/>
      <c r="BM149" s="1636"/>
      <c r="BN149" s="570"/>
      <c r="BO149" s="570"/>
      <c r="BP149" s="570"/>
      <c r="BQ149" s="570"/>
      <c r="BR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W150" s="1164"/>
      <c r="AX150" s="1640"/>
      <c r="AY150" s="1640"/>
      <c r="AZ150" s="1164"/>
      <c r="BA150" s="1164"/>
      <c r="BB150" s="1164"/>
      <c r="BC150" s="1164"/>
      <c r="BD150" s="1640"/>
      <c r="BE150" s="1164"/>
      <c r="BF150" s="1164"/>
      <c r="BG150" s="548"/>
      <c r="BH150" s="1164"/>
      <c r="BI150" s="1164"/>
      <c r="BJ150" s="1164"/>
      <c r="BK150" s="1164"/>
      <c r="BL150" s="1164"/>
      <c r="BM150" s="1636"/>
      <c r="BN150" s="570"/>
      <c r="BO150" s="570"/>
      <c r="BP150" s="570"/>
      <c r="BQ150" s="570"/>
      <c r="BR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W151" s="1164"/>
      <c r="AX151" s="1640"/>
      <c r="AY151" s="1640"/>
      <c r="AZ151" s="1164"/>
      <c r="BA151" s="1164"/>
      <c r="BB151" s="1164"/>
      <c r="BC151" s="1164"/>
      <c r="BD151" s="1640"/>
      <c r="BE151" s="1164"/>
      <c r="BF151" s="1164"/>
      <c r="BG151" s="548"/>
      <c r="BH151" s="1164"/>
      <c r="BI151" s="1164"/>
      <c r="BJ151" s="1164"/>
      <c r="BK151" s="1164"/>
      <c r="BL151" s="1164"/>
      <c r="BM151" s="1636"/>
      <c r="BN151" s="570"/>
      <c r="BO151" s="570"/>
      <c r="BP151" s="570"/>
      <c r="BQ151" s="570"/>
      <c r="BR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W152" s="1164"/>
      <c r="AX152" s="1640"/>
      <c r="AY152" s="1640"/>
      <c r="AZ152" s="1164"/>
      <c r="BA152" s="1164"/>
      <c r="BB152" s="1164"/>
      <c r="BC152" s="1164"/>
      <c r="BD152" s="1640"/>
      <c r="BE152" s="1164"/>
      <c r="BF152" s="1164"/>
      <c r="BG152" s="548"/>
      <c r="BH152" s="1164"/>
      <c r="BI152" s="1164"/>
      <c r="BJ152" s="1164"/>
      <c r="BK152" s="1164"/>
      <c r="BL152" s="1164"/>
      <c r="BM152" s="1636"/>
      <c r="BN152" s="570"/>
      <c r="BO152" s="570"/>
      <c r="BP152" s="570"/>
      <c r="BQ152" s="570"/>
      <c r="BR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W153" s="1164"/>
      <c r="AX153" s="1640"/>
      <c r="AY153" s="1640"/>
      <c r="AZ153" s="1164"/>
      <c r="BA153" s="1164"/>
      <c r="BB153" s="1164"/>
      <c r="BC153" s="1164"/>
      <c r="BD153" s="1640"/>
      <c r="BE153" s="1164"/>
      <c r="BF153" s="1164"/>
      <c r="BG153" s="548"/>
      <c r="BH153" s="1164"/>
      <c r="BI153" s="1164"/>
      <c r="BJ153" s="1164"/>
      <c r="BK153" s="1164"/>
      <c r="BL153" s="1164"/>
      <c r="BM153" s="1636"/>
      <c r="BN153" s="570"/>
      <c r="BO153" s="570"/>
      <c r="BP153" s="570"/>
      <c r="BQ153" s="570"/>
      <c r="BR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W154" s="1164"/>
      <c r="AX154" s="1640"/>
      <c r="AY154" s="1640"/>
      <c r="AZ154" s="1164"/>
      <c r="BA154" s="1164"/>
      <c r="BB154" s="1164"/>
      <c r="BC154" s="1164"/>
      <c r="BD154" s="1640"/>
      <c r="BE154" s="1164"/>
      <c r="BF154" s="1164"/>
      <c r="BG154" s="548"/>
      <c r="BH154" s="1164"/>
      <c r="BI154" s="1164"/>
      <c r="BJ154" s="1164"/>
      <c r="BK154" s="1164"/>
      <c r="BL154" s="1164"/>
      <c r="BM154" s="1636"/>
      <c r="BN154" s="570"/>
      <c r="BO154" s="570"/>
      <c r="BP154" s="570"/>
      <c r="BQ154" s="570"/>
      <c r="BR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W155" s="1164"/>
      <c r="AX155" s="1640"/>
      <c r="AY155" s="1640"/>
      <c r="AZ155" s="1164"/>
      <c r="BA155" s="1164"/>
      <c r="BB155" s="1164"/>
      <c r="BC155" s="1164"/>
      <c r="BD155" s="1640"/>
      <c r="BE155" s="1164"/>
      <c r="BF155" s="1164"/>
      <c r="BG155" s="548"/>
      <c r="BH155" s="1164"/>
      <c r="BI155" s="1164"/>
      <c r="BJ155" s="1164"/>
      <c r="BK155" s="1164"/>
      <c r="BL155" s="1164"/>
      <c r="BM155" s="1636"/>
      <c r="BN155" s="570"/>
      <c r="BO155" s="570"/>
      <c r="BP155" s="570"/>
      <c r="BQ155" s="570"/>
      <c r="BR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W156" s="1164"/>
      <c r="AX156" s="1640"/>
      <c r="AY156" s="1640"/>
      <c r="AZ156" s="1164"/>
      <c r="BA156" s="1164"/>
      <c r="BB156" s="1164"/>
      <c r="BC156" s="1164"/>
      <c r="BD156" s="1640"/>
      <c r="BE156" s="1164"/>
      <c r="BF156" s="1164"/>
      <c r="BG156" s="548"/>
      <c r="BH156" s="1164"/>
      <c r="BI156" s="1164"/>
      <c r="BJ156" s="1164"/>
      <c r="BK156" s="1164"/>
      <c r="BL156" s="1164"/>
      <c r="BM156" s="1636"/>
      <c r="BN156" s="570"/>
      <c r="BO156" s="570"/>
      <c r="BP156" s="570"/>
      <c r="BQ156" s="570"/>
      <c r="BR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W157" s="1164"/>
      <c r="AX157" s="1640"/>
      <c r="AY157" s="1640"/>
      <c r="AZ157" s="1164"/>
      <c r="BA157" s="1164"/>
      <c r="BB157" s="1164"/>
      <c r="BC157" s="1164"/>
      <c r="BD157" s="1640"/>
      <c r="BE157" s="1164"/>
      <c r="BF157" s="1164"/>
      <c r="BG157" s="548"/>
      <c r="BH157" s="1164"/>
      <c r="BI157" s="1164"/>
      <c r="BJ157" s="1164"/>
      <c r="BK157" s="1164"/>
      <c r="BL157" s="1164"/>
      <c r="BM157" s="1636"/>
      <c r="BN157" s="570"/>
      <c r="BO157" s="570"/>
      <c r="BP157" s="570"/>
      <c r="BQ157" s="570"/>
      <c r="BR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W158" s="1164"/>
      <c r="AX158" s="1640"/>
      <c r="AY158" s="1640"/>
      <c r="AZ158" s="1164"/>
      <c r="BA158" s="1164"/>
      <c r="BB158" s="1164"/>
      <c r="BC158" s="1164"/>
      <c r="BD158" s="1640"/>
      <c r="BE158" s="1164"/>
      <c r="BF158" s="1164"/>
      <c r="BG158" s="548"/>
      <c r="BH158" s="1164"/>
      <c r="BI158" s="1164"/>
      <c r="BJ158" s="1164"/>
      <c r="BK158" s="1164"/>
      <c r="BL158" s="1164"/>
      <c r="BM158" s="1636"/>
      <c r="BN158" s="570"/>
      <c r="BO158" s="570"/>
      <c r="BP158" s="570"/>
      <c r="BQ158" s="570"/>
      <c r="BR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W159" s="1164"/>
      <c r="AX159" s="1640"/>
      <c r="AY159" s="1640"/>
      <c r="AZ159" s="1164"/>
      <c r="BA159" s="1164"/>
      <c r="BB159" s="1164"/>
      <c r="BC159" s="1164"/>
      <c r="BD159" s="1640"/>
      <c r="BE159" s="1164"/>
      <c r="BF159" s="1164"/>
      <c r="BG159" s="548"/>
      <c r="BH159" s="1164"/>
      <c r="BI159" s="1164"/>
      <c r="BJ159" s="1164"/>
      <c r="BK159" s="1164"/>
      <c r="BL159" s="1164"/>
      <c r="BM159" s="1636"/>
      <c r="BN159" s="570"/>
      <c r="BO159" s="570"/>
      <c r="BP159" s="570"/>
      <c r="BQ159" s="570"/>
      <c r="BR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W160" s="1164"/>
      <c r="AX160" s="1640"/>
      <c r="AY160" s="1640"/>
      <c r="AZ160" s="1164"/>
      <c r="BA160" s="1164"/>
      <c r="BB160" s="1164"/>
      <c r="BC160" s="1164"/>
      <c r="BD160" s="1640"/>
      <c r="BE160" s="1164"/>
      <c r="BF160" s="1164"/>
      <c r="BG160" s="548"/>
      <c r="BH160" s="1164"/>
      <c r="BI160" s="1164"/>
      <c r="BJ160" s="1164"/>
      <c r="BK160" s="1164"/>
      <c r="BL160" s="1164"/>
      <c r="BM160" s="1636"/>
      <c r="BN160" s="570"/>
      <c r="BO160" s="570"/>
      <c r="BP160" s="570"/>
      <c r="BQ160" s="570"/>
      <c r="BR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W161" s="1164"/>
      <c r="AX161" s="1640"/>
      <c r="AY161" s="1640"/>
      <c r="AZ161" s="1164"/>
      <c r="BA161" s="1164"/>
      <c r="BB161" s="1164"/>
      <c r="BC161" s="1164"/>
      <c r="BD161" s="1640"/>
      <c r="BE161" s="1164"/>
      <c r="BF161" s="1164"/>
      <c r="BG161" s="548"/>
      <c r="BH161" s="1164"/>
      <c r="BI161" s="1164"/>
      <c r="BJ161" s="1164"/>
      <c r="BK161" s="1164"/>
      <c r="BL161" s="1164"/>
      <c r="BM161" s="1636"/>
      <c r="BN161" s="570"/>
      <c r="BO161" s="570"/>
      <c r="BP161" s="570"/>
      <c r="BQ161" s="570"/>
      <c r="BR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W162" s="1164"/>
      <c r="AX162" s="1640"/>
      <c r="AY162" s="1640"/>
      <c r="AZ162" s="1164"/>
      <c r="BA162" s="1164"/>
      <c r="BB162" s="1164"/>
      <c r="BC162" s="1164"/>
      <c r="BD162" s="1640"/>
      <c r="BE162" s="1164"/>
      <c r="BF162" s="1164"/>
      <c r="BG162" s="548"/>
      <c r="BH162" s="1164"/>
      <c r="BI162" s="1164"/>
      <c r="BJ162" s="1164"/>
      <c r="BK162" s="1164"/>
      <c r="BL162" s="1164"/>
      <c r="BM162" s="1636"/>
      <c r="BN162" s="570"/>
      <c r="BO162" s="570"/>
      <c r="BP162" s="570"/>
      <c r="BQ162" s="570"/>
      <c r="BR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W163" s="1164"/>
      <c r="AX163" s="1640"/>
      <c r="AY163" s="1640"/>
      <c r="AZ163" s="1164"/>
      <c r="BA163" s="1164"/>
      <c r="BB163" s="1164"/>
      <c r="BC163" s="1164"/>
      <c r="BD163" s="1640"/>
      <c r="BE163" s="1164"/>
      <c r="BF163" s="1164"/>
      <c r="BG163" s="548"/>
      <c r="BH163" s="1164"/>
      <c r="BI163" s="1164"/>
      <c r="BJ163" s="1164"/>
      <c r="BK163" s="1164"/>
      <c r="BL163" s="1164"/>
      <c r="BM163" s="1636"/>
      <c r="BN163" s="570"/>
      <c r="BO163" s="570"/>
      <c r="BP163" s="570"/>
      <c r="BQ163" s="570"/>
      <c r="BR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W164" s="1164"/>
      <c r="AX164" s="1640"/>
      <c r="AY164" s="1640"/>
      <c r="AZ164" s="1164"/>
      <c r="BA164" s="1164"/>
      <c r="BB164" s="1164"/>
      <c r="BC164" s="1164"/>
      <c r="BD164" s="1640"/>
      <c r="BE164" s="1164"/>
      <c r="BF164" s="1164"/>
      <c r="BG164" s="548"/>
      <c r="BH164" s="1164"/>
      <c r="BI164" s="1164"/>
      <c r="BJ164" s="1164"/>
      <c r="BK164" s="1164"/>
      <c r="BL164" s="1164"/>
      <c r="BM164" s="1636"/>
      <c r="BN164" s="570"/>
      <c r="BO164" s="570"/>
      <c r="BP164" s="570"/>
      <c r="BQ164" s="570"/>
      <c r="BR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W165" s="1164"/>
      <c r="AX165" s="1640"/>
      <c r="AY165" s="1640"/>
      <c r="AZ165" s="1164"/>
      <c r="BA165" s="1164"/>
      <c r="BB165" s="1164"/>
      <c r="BC165" s="1164"/>
      <c r="BD165" s="1640"/>
      <c r="BE165" s="1164"/>
      <c r="BF165" s="1164"/>
      <c r="BG165" s="548"/>
      <c r="BH165" s="1164"/>
      <c r="BI165" s="1164"/>
      <c r="BJ165" s="1164"/>
      <c r="BK165" s="1164"/>
      <c r="BL165" s="1164"/>
      <c r="BM165" s="1636"/>
      <c r="BN165" s="570"/>
      <c r="BO165" s="570"/>
      <c r="BP165" s="570"/>
      <c r="BQ165" s="570"/>
      <c r="BR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W166" s="1164"/>
      <c r="AX166" s="1640"/>
      <c r="AY166" s="1640"/>
      <c r="AZ166" s="1164"/>
      <c r="BA166" s="1164"/>
      <c r="BB166" s="1164"/>
      <c r="BC166" s="1164"/>
      <c r="BD166" s="1640"/>
      <c r="BE166" s="1164"/>
      <c r="BF166" s="1164"/>
      <c r="BG166" s="548"/>
      <c r="BH166" s="1164"/>
      <c r="BI166" s="1164"/>
      <c r="BJ166" s="1164"/>
      <c r="BK166" s="1164"/>
      <c r="BL166" s="1164"/>
      <c r="BM166" s="1636"/>
      <c r="BN166" s="570"/>
      <c r="BO166" s="570"/>
      <c r="BP166" s="570"/>
      <c r="BQ166" s="570"/>
      <c r="BR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W167" s="1164"/>
      <c r="AX167" s="1640"/>
      <c r="AY167" s="1640"/>
      <c r="AZ167" s="1164"/>
      <c r="BA167" s="1164"/>
      <c r="BB167" s="1164"/>
      <c r="BC167" s="1164"/>
      <c r="BD167" s="1640"/>
      <c r="BE167" s="1164"/>
      <c r="BF167" s="1164"/>
      <c r="BG167" s="548"/>
      <c r="BH167" s="1164"/>
      <c r="BI167" s="1164"/>
      <c r="BJ167" s="1164"/>
      <c r="BK167" s="1164"/>
      <c r="BL167" s="1164"/>
      <c r="BM167" s="1636"/>
      <c r="BN167" s="570"/>
      <c r="BO167" s="570"/>
      <c r="BP167" s="570"/>
      <c r="BQ167" s="570"/>
      <c r="BR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W168" s="1164"/>
      <c r="AX168" s="1640"/>
      <c r="AY168" s="1640"/>
      <c r="AZ168" s="1164"/>
      <c r="BA168" s="1164"/>
      <c r="BB168" s="1164"/>
      <c r="BC168" s="1164"/>
      <c r="BD168" s="1640"/>
      <c r="BE168" s="1164"/>
      <c r="BF168" s="1164"/>
      <c r="BG168" s="548"/>
      <c r="BH168" s="1164"/>
      <c r="BI168" s="1164"/>
      <c r="BJ168" s="1164"/>
      <c r="BK168" s="1164"/>
      <c r="BL168" s="1164"/>
      <c r="BM168" s="1636"/>
      <c r="BN168" s="570"/>
      <c r="BO168" s="570"/>
      <c r="BP168" s="570"/>
      <c r="BQ168" s="570"/>
      <c r="BR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W169" s="1164"/>
      <c r="AX169" s="1640"/>
      <c r="AY169" s="1640"/>
      <c r="AZ169" s="1164"/>
      <c r="BA169" s="1164"/>
      <c r="BB169" s="1164"/>
      <c r="BC169" s="1164"/>
      <c r="BD169" s="1640"/>
      <c r="BE169" s="1164"/>
      <c r="BF169" s="1164"/>
      <c r="BG169" s="548"/>
      <c r="BH169" s="1164"/>
      <c r="BI169" s="1164"/>
      <c r="BJ169" s="1164"/>
      <c r="BK169" s="1164"/>
      <c r="BL169" s="1164"/>
      <c r="BM169" s="1636"/>
      <c r="BN169" s="570"/>
      <c r="BO169" s="570"/>
      <c r="BP169" s="570"/>
      <c r="BQ169" s="570"/>
      <c r="BR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W170" s="1164"/>
      <c r="AX170" s="1640"/>
      <c r="AY170" s="1640"/>
      <c r="AZ170" s="1164"/>
      <c r="BA170" s="1164"/>
      <c r="BB170" s="1164"/>
      <c r="BC170" s="1164"/>
      <c r="BD170" s="1640"/>
      <c r="BE170" s="1164"/>
      <c r="BF170" s="1164"/>
      <c r="BG170" s="548"/>
      <c r="BH170" s="1164"/>
      <c r="BI170" s="1164"/>
      <c r="BJ170" s="1164"/>
      <c r="BK170" s="1164"/>
      <c r="BL170" s="1164"/>
      <c r="BM170" s="1636"/>
      <c r="BN170" s="570"/>
      <c r="BO170" s="570"/>
      <c r="BP170" s="570"/>
      <c r="BQ170" s="570"/>
      <c r="BR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W171" s="1164"/>
      <c r="AX171" s="1640"/>
      <c r="AY171" s="1640"/>
      <c r="AZ171" s="1164"/>
      <c r="BA171" s="1164"/>
      <c r="BB171" s="1164"/>
      <c r="BC171" s="1164"/>
      <c r="BD171" s="1640"/>
      <c r="BE171" s="1164"/>
      <c r="BF171" s="1164"/>
      <c r="BG171" s="548"/>
      <c r="BH171" s="1164"/>
      <c r="BI171" s="1164"/>
      <c r="BJ171" s="1164"/>
      <c r="BK171" s="1164"/>
      <c r="BL171" s="1164"/>
      <c r="BM171" s="1636"/>
      <c r="BN171" s="570"/>
      <c r="BO171" s="570"/>
      <c r="BP171" s="570"/>
      <c r="BQ171" s="570"/>
      <c r="BR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W172" s="1164"/>
      <c r="AX172" s="1640"/>
      <c r="AY172" s="1640"/>
      <c r="AZ172" s="1164"/>
      <c r="BA172" s="1164"/>
      <c r="BB172" s="1164"/>
      <c r="BC172" s="1164"/>
      <c r="BD172" s="1640"/>
      <c r="BE172" s="1164"/>
      <c r="BF172" s="1164"/>
      <c r="BG172" s="548"/>
      <c r="BH172" s="1164"/>
      <c r="BI172" s="1164"/>
      <c r="BJ172" s="1164"/>
      <c r="BK172" s="1164"/>
      <c r="BL172" s="1164"/>
      <c r="BM172" s="1636"/>
      <c r="BN172" s="570"/>
      <c r="BO172" s="570"/>
      <c r="BP172" s="570"/>
      <c r="BQ172" s="570"/>
      <c r="BR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W173" s="1164"/>
      <c r="AX173" s="1640"/>
      <c r="AY173" s="1640"/>
      <c r="AZ173" s="1164"/>
      <c r="BA173" s="1164"/>
      <c r="BB173" s="1164"/>
      <c r="BC173" s="1164"/>
      <c r="BD173" s="1640"/>
      <c r="BE173" s="1164"/>
      <c r="BF173" s="1164"/>
      <c r="BG173" s="548"/>
      <c r="BH173" s="1164"/>
      <c r="BI173" s="1164"/>
      <c r="BJ173" s="1164"/>
      <c r="BK173" s="1164"/>
      <c r="BL173" s="1164"/>
      <c r="BM173" s="1636"/>
      <c r="BN173" s="570"/>
      <c r="BO173" s="570"/>
      <c r="BP173" s="570"/>
      <c r="BQ173" s="570"/>
      <c r="BR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W174" s="1164"/>
      <c r="AX174" s="1640"/>
      <c r="AY174" s="1640"/>
      <c r="AZ174" s="1164"/>
      <c r="BA174" s="1164"/>
      <c r="BB174" s="1164"/>
      <c r="BC174" s="1164"/>
      <c r="BD174" s="1640"/>
      <c r="BE174" s="1164"/>
      <c r="BF174" s="1164"/>
      <c r="BG174" s="548"/>
      <c r="BH174" s="1164"/>
      <c r="BI174" s="1164"/>
      <c r="BJ174" s="1164"/>
      <c r="BK174" s="1164"/>
      <c r="BL174" s="1164"/>
      <c r="BM174" s="1636"/>
      <c r="BN174" s="570"/>
      <c r="BO174" s="570"/>
      <c r="BP174" s="570"/>
      <c r="BQ174" s="570"/>
      <c r="BR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W175" s="1164"/>
      <c r="AX175" s="1640"/>
      <c r="AY175" s="1640"/>
      <c r="AZ175" s="1164"/>
      <c r="BA175" s="1164"/>
      <c r="BB175" s="1164"/>
      <c r="BC175" s="1164"/>
      <c r="BD175" s="1640"/>
      <c r="BE175" s="1164"/>
      <c r="BF175" s="1164"/>
      <c r="BG175" s="548"/>
      <c r="BH175" s="1164"/>
      <c r="BI175" s="1164"/>
      <c r="BJ175" s="1164"/>
      <c r="BK175" s="1164"/>
      <c r="BL175" s="1164"/>
      <c r="BM175" s="1636"/>
      <c r="BN175" s="570"/>
      <c r="BO175" s="570"/>
      <c r="BP175" s="570"/>
      <c r="BQ175" s="570"/>
      <c r="BR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W176" s="1164"/>
      <c r="AX176" s="1640"/>
      <c r="AY176" s="1640"/>
      <c r="AZ176" s="1164"/>
      <c r="BA176" s="1164"/>
      <c r="BB176" s="1164"/>
      <c r="BC176" s="1164"/>
      <c r="BD176" s="1640"/>
      <c r="BE176" s="1164"/>
      <c r="BF176" s="1164"/>
      <c r="BG176" s="548"/>
      <c r="BH176" s="1164"/>
      <c r="BI176" s="1164"/>
      <c r="BJ176" s="1164"/>
      <c r="BK176" s="1164"/>
      <c r="BL176" s="1164"/>
      <c r="BM176" s="1636"/>
      <c r="BN176" s="570"/>
      <c r="BO176" s="570"/>
      <c r="BP176" s="570"/>
      <c r="BQ176" s="570"/>
      <c r="BR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W177" s="1164"/>
      <c r="AX177" s="1640"/>
      <c r="AY177" s="1640"/>
      <c r="AZ177" s="1164"/>
      <c r="BA177" s="1164"/>
      <c r="BB177" s="1164"/>
      <c r="BC177" s="1164"/>
      <c r="BD177" s="1640"/>
      <c r="BE177" s="1164"/>
      <c r="BF177" s="1164"/>
      <c r="BG177" s="548"/>
      <c r="BH177" s="1164"/>
      <c r="BI177" s="1164"/>
      <c r="BJ177" s="1164"/>
      <c r="BK177" s="1164"/>
      <c r="BL177" s="1164"/>
      <c r="BM177" s="1636"/>
      <c r="BN177" s="570"/>
      <c r="BO177" s="570"/>
      <c r="BP177" s="570"/>
      <c r="BQ177" s="570"/>
      <c r="BR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W178" s="1164"/>
      <c r="AX178" s="1640"/>
      <c r="AY178" s="1640"/>
      <c r="AZ178" s="1164"/>
      <c r="BA178" s="1164"/>
      <c r="BB178" s="1164"/>
      <c r="BC178" s="1164"/>
      <c r="BD178" s="1640"/>
      <c r="BE178" s="1164"/>
      <c r="BF178" s="1164"/>
      <c r="BG178" s="548"/>
      <c r="BH178" s="1164"/>
      <c r="BI178" s="1164"/>
      <c r="BJ178" s="1164"/>
      <c r="BK178" s="1164"/>
      <c r="BL178" s="1164"/>
      <c r="BM178" s="1636"/>
      <c r="BN178" s="570"/>
      <c r="BO178" s="570"/>
      <c r="BP178" s="570"/>
      <c r="BQ178" s="570"/>
      <c r="BR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W179" s="1164"/>
      <c r="AX179" s="1640"/>
      <c r="AY179" s="1640"/>
      <c r="AZ179" s="1164"/>
      <c r="BA179" s="1164"/>
      <c r="BB179" s="1164"/>
      <c r="BC179" s="1164"/>
      <c r="BD179" s="1640"/>
      <c r="BE179" s="1164"/>
      <c r="BF179" s="1164"/>
      <c r="BG179" s="548"/>
      <c r="BH179" s="1164"/>
      <c r="BI179" s="1164"/>
      <c r="BJ179" s="1164"/>
      <c r="BK179" s="1164"/>
      <c r="BL179" s="1164"/>
      <c r="BM179" s="1636"/>
      <c r="BN179" s="570"/>
      <c r="BO179" s="570"/>
      <c r="BP179" s="570"/>
      <c r="BQ179" s="570"/>
      <c r="BR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W180" s="1164"/>
      <c r="AX180" s="1640"/>
      <c r="AY180" s="1640"/>
      <c r="AZ180" s="1164"/>
      <c r="BA180" s="1164"/>
      <c r="BB180" s="1164"/>
      <c r="BC180" s="1164"/>
      <c r="BD180" s="1640"/>
      <c r="BE180" s="1164"/>
      <c r="BF180" s="1164"/>
      <c r="BG180" s="548"/>
      <c r="BH180" s="1164"/>
      <c r="BI180" s="1164"/>
      <c r="BJ180" s="1164"/>
      <c r="BK180" s="1164"/>
      <c r="BL180" s="1164"/>
      <c r="BM180" s="1636"/>
      <c r="BN180" s="570"/>
      <c r="BO180" s="570"/>
      <c r="BP180" s="570"/>
      <c r="BQ180" s="570"/>
      <c r="BR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W181" s="1164"/>
      <c r="AX181" s="1640"/>
      <c r="AY181" s="1640"/>
      <c r="AZ181" s="1164"/>
      <c r="BA181" s="1164"/>
      <c r="BB181" s="1164"/>
      <c r="BC181" s="1164"/>
      <c r="BD181" s="1640"/>
      <c r="BE181" s="1164"/>
      <c r="BF181" s="1164"/>
      <c r="BG181" s="548"/>
      <c r="BH181" s="1164"/>
      <c r="BI181" s="1164"/>
      <c r="BJ181" s="1164"/>
      <c r="BK181" s="1164"/>
      <c r="BL181" s="1164"/>
      <c r="BM181" s="1636"/>
      <c r="BN181" s="570"/>
      <c r="BO181" s="570"/>
      <c r="BP181" s="570"/>
      <c r="BQ181" s="570"/>
      <c r="BR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W182" s="1164"/>
      <c r="AX182" s="1640"/>
      <c r="AY182" s="1640"/>
      <c r="AZ182" s="1164"/>
      <c r="BA182" s="1164"/>
      <c r="BB182" s="1164"/>
      <c r="BC182" s="1164"/>
      <c r="BD182" s="1640"/>
      <c r="BE182" s="1164"/>
      <c r="BF182" s="1164"/>
      <c r="BG182" s="548"/>
      <c r="BH182" s="1164"/>
      <c r="BI182" s="1164"/>
      <c r="BJ182" s="1164"/>
      <c r="BK182" s="1164"/>
      <c r="BL182" s="1164"/>
      <c r="BM182" s="1636"/>
      <c r="BN182" s="570"/>
      <c r="BO182" s="570"/>
      <c r="BP182" s="570"/>
      <c r="BQ182" s="570"/>
      <c r="BR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W183" s="1164"/>
      <c r="AX183" s="1640"/>
      <c r="AY183" s="1640"/>
      <c r="AZ183" s="1164"/>
      <c r="BA183" s="1164"/>
      <c r="BB183" s="1164"/>
      <c r="BC183" s="1164"/>
      <c r="BD183" s="1640"/>
      <c r="BE183" s="1164"/>
      <c r="BF183" s="1164"/>
      <c r="BG183" s="548"/>
      <c r="BH183" s="1164"/>
      <c r="BI183" s="1164"/>
      <c r="BJ183" s="1164"/>
      <c r="BK183" s="1164"/>
      <c r="BL183" s="1164"/>
      <c r="BM183" s="1636"/>
      <c r="BN183" s="570"/>
      <c r="BO183" s="570"/>
      <c r="BP183" s="570"/>
      <c r="BQ183" s="570"/>
      <c r="BR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W184" s="1164"/>
      <c r="AX184" s="1640"/>
      <c r="AY184" s="1640"/>
      <c r="AZ184" s="1164"/>
      <c r="BA184" s="1164"/>
      <c r="BB184" s="1164"/>
      <c r="BC184" s="1164"/>
      <c r="BD184" s="1640"/>
      <c r="BE184" s="1164"/>
      <c r="BF184" s="1164"/>
      <c r="BG184" s="548"/>
      <c r="BH184" s="1164"/>
      <c r="BI184" s="1164"/>
      <c r="BJ184" s="1164"/>
      <c r="BK184" s="1164"/>
      <c r="BL184" s="1164"/>
      <c r="BM184" s="1636"/>
      <c r="BN184" s="570"/>
      <c r="BO184" s="570"/>
      <c r="BP184" s="570"/>
      <c r="BQ184" s="570"/>
      <c r="BR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W185" s="1164"/>
      <c r="AX185" s="1640"/>
      <c r="AY185" s="1640"/>
      <c r="AZ185" s="1164"/>
      <c r="BA185" s="1164"/>
      <c r="BB185" s="1164"/>
      <c r="BC185" s="1164"/>
      <c r="BD185" s="1640"/>
      <c r="BE185" s="1164"/>
      <c r="BF185" s="1164"/>
      <c r="BG185" s="548"/>
      <c r="BH185" s="1164"/>
      <c r="BI185" s="1164"/>
      <c r="BJ185" s="1164"/>
      <c r="BK185" s="1164"/>
      <c r="BL185" s="1164"/>
      <c r="BM185" s="1636"/>
      <c r="BN185" s="570"/>
      <c r="BO185" s="570"/>
      <c r="BP185" s="570"/>
      <c r="BQ185" s="570"/>
      <c r="BR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W186" s="1164"/>
      <c r="AX186" s="1640"/>
      <c r="AY186" s="1640"/>
      <c r="AZ186" s="1164"/>
      <c r="BA186" s="1164"/>
      <c r="BB186" s="1164"/>
      <c r="BC186" s="1164"/>
      <c r="BD186" s="1640"/>
      <c r="BE186" s="1164"/>
      <c r="BF186" s="1164"/>
      <c r="BG186" s="548"/>
      <c r="BH186" s="1164"/>
      <c r="BI186" s="1164"/>
      <c r="BJ186" s="1164"/>
      <c r="BK186" s="1164"/>
      <c r="BL186" s="1164"/>
      <c r="BM186" s="1636"/>
      <c r="BN186" s="570"/>
      <c r="BO186" s="570"/>
      <c r="BP186" s="570"/>
      <c r="BQ186" s="570"/>
      <c r="BR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W187" s="1164"/>
      <c r="AX187" s="1640"/>
      <c r="AY187" s="1640"/>
      <c r="AZ187" s="1164"/>
      <c r="BA187" s="1164"/>
      <c r="BB187" s="1164"/>
      <c r="BC187" s="1164"/>
      <c r="BD187" s="1640"/>
      <c r="BE187" s="1164"/>
      <c r="BF187" s="1164"/>
      <c r="BG187" s="548"/>
      <c r="BH187" s="1164"/>
      <c r="BI187" s="1164"/>
      <c r="BJ187" s="1164"/>
      <c r="BK187" s="1164"/>
      <c r="BL187" s="1164"/>
      <c r="BM187" s="1636"/>
      <c r="BN187" s="570"/>
      <c r="BO187" s="570"/>
      <c r="BP187" s="570"/>
      <c r="BQ187" s="570"/>
      <c r="BR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W188" s="1164"/>
      <c r="AX188" s="1640"/>
      <c r="AY188" s="1640"/>
      <c r="AZ188" s="1164"/>
      <c r="BA188" s="1164"/>
      <c r="BB188" s="1164"/>
      <c r="BC188" s="1164"/>
      <c r="BD188" s="1640"/>
      <c r="BE188" s="1164"/>
      <c r="BF188" s="1164"/>
      <c r="BG188" s="548"/>
      <c r="BH188" s="1164"/>
      <c r="BI188" s="1164"/>
      <c r="BJ188" s="1164"/>
      <c r="BK188" s="1164"/>
      <c r="BL188" s="1164"/>
      <c r="BM188" s="1636"/>
      <c r="BN188" s="570"/>
      <c r="BO188" s="570"/>
      <c r="BP188" s="570"/>
      <c r="BQ188" s="570"/>
      <c r="BR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W189" s="1164"/>
      <c r="AX189" s="1640"/>
      <c r="AY189" s="1640"/>
      <c r="AZ189" s="1164"/>
      <c r="BA189" s="1164"/>
      <c r="BB189" s="1164"/>
      <c r="BC189" s="1164"/>
      <c r="BD189" s="1640"/>
      <c r="BE189" s="1164"/>
      <c r="BF189" s="1164"/>
      <c r="BG189" s="548"/>
      <c r="BH189" s="1164"/>
      <c r="BI189" s="1164"/>
      <c r="BJ189" s="1164"/>
      <c r="BK189" s="1164"/>
      <c r="BL189" s="1164"/>
      <c r="BM189" s="1636"/>
      <c r="BN189" s="570"/>
      <c r="BO189" s="570"/>
      <c r="BP189" s="570"/>
      <c r="BQ189" s="570"/>
      <c r="BR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W190" s="1164"/>
      <c r="AX190" s="1640"/>
      <c r="AY190" s="1640"/>
      <c r="AZ190" s="1164"/>
      <c r="BA190" s="1164"/>
      <c r="BB190" s="1164"/>
      <c r="BC190" s="1164"/>
      <c r="BD190" s="1640"/>
      <c r="BE190" s="1164"/>
      <c r="BF190" s="1164"/>
      <c r="BG190" s="548"/>
      <c r="BH190" s="1164"/>
      <c r="BI190" s="1164"/>
      <c r="BJ190" s="1164"/>
      <c r="BK190" s="1164"/>
      <c r="BL190" s="1164"/>
      <c r="BM190" s="1636"/>
      <c r="BN190" s="570"/>
      <c r="BO190" s="570"/>
      <c r="BP190" s="570"/>
      <c r="BQ190" s="570"/>
      <c r="BR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W191" s="1164"/>
      <c r="AX191" s="1640"/>
      <c r="AY191" s="1640"/>
      <c r="AZ191" s="1164"/>
      <c r="BA191" s="1164"/>
      <c r="BB191" s="1164"/>
      <c r="BC191" s="1164"/>
      <c r="BD191" s="1640"/>
      <c r="BE191" s="1164"/>
      <c r="BF191" s="1164"/>
      <c r="BG191" s="548"/>
      <c r="BH191" s="1164"/>
      <c r="BI191" s="1164"/>
      <c r="BJ191" s="1164"/>
      <c r="BK191" s="1164"/>
      <c r="BL191" s="1164"/>
      <c r="BM191" s="1636"/>
      <c r="BN191" s="570"/>
      <c r="BO191" s="570"/>
      <c r="BP191" s="570"/>
      <c r="BQ191" s="570"/>
      <c r="BR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W192" s="1164"/>
      <c r="AX192" s="1640"/>
      <c r="AY192" s="1640"/>
      <c r="AZ192" s="1164"/>
      <c r="BA192" s="1164"/>
      <c r="BB192" s="1164"/>
      <c r="BC192" s="1164"/>
      <c r="BD192" s="1640"/>
      <c r="BE192" s="1164"/>
      <c r="BF192" s="1164"/>
      <c r="BG192" s="548"/>
      <c r="BH192" s="1164"/>
      <c r="BI192" s="1164"/>
      <c r="BJ192" s="1164"/>
      <c r="BK192" s="1164"/>
      <c r="BL192" s="1164"/>
      <c r="BM192" s="1636"/>
      <c r="BN192" s="570"/>
      <c r="BO192" s="570"/>
      <c r="BP192" s="570"/>
      <c r="BQ192" s="570"/>
      <c r="BR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W193" s="1164"/>
      <c r="AX193" s="1640"/>
      <c r="AY193" s="1640"/>
      <c r="AZ193" s="1164"/>
      <c r="BA193" s="1164"/>
      <c r="BB193" s="1164"/>
      <c r="BC193" s="1164"/>
      <c r="BD193" s="1640"/>
      <c r="BE193" s="1164"/>
      <c r="BF193" s="1164"/>
      <c r="BG193" s="548"/>
      <c r="BH193" s="1164"/>
      <c r="BI193" s="1164"/>
      <c r="BJ193" s="1164"/>
      <c r="BK193" s="1164"/>
      <c r="BL193" s="1164"/>
      <c r="BM193" s="1636"/>
      <c r="BN193" s="570"/>
      <c r="BO193" s="570"/>
      <c r="BP193" s="570"/>
      <c r="BQ193" s="570"/>
      <c r="BR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W194" s="1164"/>
      <c r="AX194" s="1640"/>
      <c r="AY194" s="1640"/>
      <c r="AZ194" s="1164"/>
      <c r="BA194" s="1164"/>
      <c r="BB194" s="1164"/>
      <c r="BC194" s="1164"/>
      <c r="BD194" s="1640"/>
      <c r="BE194" s="1164"/>
      <c r="BF194" s="1164"/>
      <c r="BG194" s="548"/>
      <c r="BH194" s="1164"/>
      <c r="BI194" s="1164"/>
      <c r="BJ194" s="1164"/>
      <c r="BK194" s="1164"/>
      <c r="BL194" s="1164"/>
      <c r="BM194" s="1636"/>
      <c r="BN194" s="570"/>
      <c r="BO194" s="570"/>
      <c r="BP194" s="570"/>
      <c r="BQ194" s="570"/>
      <c r="BR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W195" s="1164"/>
      <c r="AX195" s="1640"/>
      <c r="AY195" s="1640"/>
      <c r="AZ195" s="1164"/>
      <c r="BA195" s="1164"/>
      <c r="BB195" s="1164"/>
      <c r="BC195" s="1164"/>
      <c r="BD195" s="1640"/>
      <c r="BE195" s="1164"/>
      <c r="BF195" s="1164"/>
      <c r="BG195" s="548"/>
      <c r="BH195" s="1164"/>
      <c r="BI195" s="1164"/>
      <c r="BJ195" s="1164"/>
      <c r="BK195" s="1164"/>
      <c r="BL195" s="1164"/>
      <c r="BM195" s="1636"/>
      <c r="BN195" s="570"/>
      <c r="BO195" s="570"/>
      <c r="BP195" s="570"/>
      <c r="BQ195" s="570"/>
      <c r="BR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W196" s="1164"/>
      <c r="AX196" s="1640"/>
      <c r="AY196" s="1640"/>
      <c r="AZ196" s="1164"/>
      <c r="BA196" s="1164"/>
      <c r="BB196" s="1164"/>
      <c r="BC196" s="1164"/>
      <c r="BD196" s="1640"/>
      <c r="BE196" s="1164"/>
      <c r="BF196" s="1164"/>
      <c r="BG196" s="548"/>
      <c r="BH196" s="1164"/>
      <c r="BI196" s="1164"/>
      <c r="BJ196" s="1164"/>
      <c r="BK196" s="1164"/>
      <c r="BL196" s="1164"/>
      <c r="BM196" s="1636"/>
      <c r="BN196" s="570"/>
      <c r="BO196" s="570"/>
      <c r="BP196" s="570"/>
      <c r="BQ196" s="570"/>
      <c r="BR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W197" s="1164"/>
      <c r="AX197" s="1640"/>
      <c r="AY197" s="1640"/>
      <c r="AZ197" s="1164"/>
      <c r="BA197" s="1164"/>
      <c r="BB197" s="1164"/>
      <c r="BC197" s="1164"/>
      <c r="BD197" s="1640"/>
      <c r="BE197" s="1164"/>
      <c r="BF197" s="1164"/>
      <c r="BG197" s="548"/>
      <c r="BH197" s="1164"/>
      <c r="BI197" s="1164"/>
      <c r="BJ197" s="1164"/>
      <c r="BK197" s="1164"/>
      <c r="BL197" s="1164"/>
      <c r="BM197" s="1636"/>
      <c r="BN197" s="570"/>
      <c r="BO197" s="570"/>
      <c r="BP197" s="570"/>
      <c r="BQ197" s="570"/>
      <c r="BR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W198" s="1164"/>
      <c r="AX198" s="1640"/>
      <c r="AY198" s="1640"/>
      <c r="AZ198" s="1164"/>
      <c r="BA198" s="1164"/>
      <c r="BB198" s="1164"/>
      <c r="BC198" s="1164"/>
      <c r="BD198" s="1640"/>
      <c r="BE198" s="1164"/>
      <c r="BF198" s="1164"/>
      <c r="BG198" s="548"/>
      <c r="BH198" s="1164"/>
      <c r="BI198" s="1164"/>
      <c r="BJ198" s="1164"/>
      <c r="BK198" s="1164"/>
      <c r="BL198" s="1164"/>
      <c r="BM198" s="1636"/>
      <c r="BN198" s="570"/>
      <c r="BO198" s="570"/>
      <c r="BP198" s="570"/>
      <c r="BQ198" s="570"/>
      <c r="BR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W199" s="1164"/>
      <c r="AX199" s="1640"/>
      <c r="AY199" s="1640"/>
      <c r="AZ199" s="1164"/>
      <c r="BA199" s="1164"/>
      <c r="BB199" s="1164"/>
      <c r="BC199" s="1164"/>
      <c r="BD199" s="1640"/>
      <c r="BE199" s="1164"/>
      <c r="BF199" s="1164"/>
      <c r="BG199" s="548"/>
      <c r="BH199" s="1164"/>
      <c r="BI199" s="1164"/>
      <c r="BJ199" s="1164"/>
      <c r="BK199" s="1164"/>
      <c r="BL199" s="1164"/>
      <c r="BM199" s="1636"/>
      <c r="BN199" s="570"/>
      <c r="BO199" s="570"/>
      <c r="BP199" s="570"/>
      <c r="BQ199" s="570"/>
      <c r="BR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W200" s="1164"/>
      <c r="AX200" s="1640"/>
      <c r="AY200" s="1640"/>
      <c r="AZ200" s="1164"/>
      <c r="BA200" s="1164"/>
      <c r="BB200" s="1164"/>
      <c r="BC200" s="1164"/>
      <c r="BD200" s="1640"/>
      <c r="BE200" s="1164"/>
      <c r="BF200" s="1164"/>
      <c r="BG200" s="548"/>
      <c r="BH200" s="1164"/>
      <c r="BI200" s="1164"/>
      <c r="BJ200" s="1164"/>
      <c r="BK200" s="1164"/>
      <c r="BL200" s="1164"/>
      <c r="BM200" s="1636"/>
      <c r="BN200" s="570"/>
      <c r="BO200" s="570"/>
      <c r="BP200" s="570"/>
      <c r="BQ200" s="570"/>
      <c r="BR200" s="1645">
        <v>11</v>
      </c>
    </row>
    <row customHeight="1" ht="11.549999999999999">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BR201" s="1635">
        <v>11</v>
      </c>
    </row>
    <row customHeight="1" ht="11.549999999999999">
      <c r="J202" s="1639"/>
      <c r="K202" s="1639"/>
      <c r="L202" s="1639"/>
      <c r="M202" s="1639"/>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BR202" s="1635">
        <v>11</v>
      </c>
    </row>
    <row customHeight="1" ht="11.549999999999999">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BR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W204" s="1635"/>
      <c r="AZ204" s="1635"/>
      <c r="BA204" s="1635"/>
      <c r="BB204" s="1635"/>
      <c r="BC204" s="1635"/>
      <c r="BE204" s="1635"/>
      <c r="BF204" s="1635"/>
      <c r="BG204" s="1635"/>
      <c r="BH204" s="1635"/>
      <c r="BI204" s="1635"/>
      <c r="BJ204" s="1635"/>
      <c r="BK204" s="1635"/>
      <c r="BL204" s="1635"/>
      <c r="BM204" s="1635"/>
      <c r="BN204" s="1635"/>
      <c r="BO204" s="1635"/>
      <c r="BP204" s="1635"/>
      <c r="BQ204" s="1635"/>
      <c r="BR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W205" s="1635"/>
      <c r="AZ205" s="1635"/>
      <c r="BA205" s="1635"/>
      <c r="BB205" s="1635"/>
      <c r="BC205" s="1635"/>
      <c r="BE205" s="1635"/>
      <c r="BF205" s="1635"/>
      <c r="BG205" s="1635"/>
      <c r="BH205" s="1635"/>
      <c r="BI205" s="1635"/>
      <c r="BJ205" s="1635"/>
      <c r="BK205" s="1635"/>
      <c r="BL205" s="1635"/>
      <c r="BM205" s="1635"/>
      <c r="BN205" s="1635"/>
      <c r="BO205" s="1635"/>
      <c r="BP205" s="1635"/>
      <c r="BQ205" s="1635"/>
      <c r="BR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W206" s="1635"/>
      <c r="AZ206" s="1635"/>
      <c r="BA206" s="1635"/>
      <c r="BB206" s="1635"/>
      <c r="BC206" s="1635"/>
      <c r="BE206" s="1635"/>
      <c r="BF206" s="1635"/>
      <c r="BG206" s="1635"/>
      <c r="BH206" s="1635"/>
      <c r="BI206" s="1635"/>
      <c r="BJ206" s="1635"/>
      <c r="BK206" s="1635"/>
      <c r="BL206" s="1635"/>
      <c r="BM206" s="1635"/>
      <c r="BN206" s="1635"/>
      <c r="BO206" s="1635"/>
      <c r="BP206" s="1635"/>
      <c r="BQ206" s="1635"/>
      <c r="BR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W207" s="1635"/>
      <c r="AZ207" s="1635"/>
      <c r="BA207" s="1635"/>
      <c r="BB207" s="1635"/>
      <c r="BC207" s="1635"/>
      <c r="BE207" s="1635"/>
      <c r="BF207" s="1635"/>
      <c r="BG207" s="1635"/>
      <c r="BH207" s="1635"/>
      <c r="BI207" s="1635"/>
      <c r="BJ207" s="1635"/>
      <c r="BK207" s="1635"/>
      <c r="BL207" s="1635"/>
      <c r="BM207" s="1635"/>
      <c r="BN207" s="1635"/>
      <c r="BO207" s="1635"/>
      <c r="BP207" s="1635"/>
      <c r="BQ207" s="1635"/>
      <c r="BR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W208" s="1635"/>
      <c r="AZ208" s="1635"/>
      <c r="BA208" s="1635"/>
      <c r="BB208" s="1635"/>
      <c r="BC208" s="1635"/>
      <c r="BE208" s="1635"/>
      <c r="BF208" s="1635"/>
      <c r="BG208" s="1635"/>
      <c r="BH208" s="1635"/>
      <c r="BI208" s="1635"/>
      <c r="BJ208" s="1635"/>
      <c r="BK208" s="1635"/>
      <c r="BL208" s="1635"/>
      <c r="BM208" s="1635"/>
      <c r="BN208" s="1635"/>
      <c r="BO208" s="1635"/>
      <c r="BP208" s="1635"/>
      <c r="BQ208" s="1635"/>
      <c r="BR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W209" s="1635"/>
      <c r="AZ209" s="1635"/>
      <c r="BA209" s="1635"/>
      <c r="BB209" s="1635"/>
      <c r="BC209" s="1635"/>
      <c r="BE209" s="1635"/>
      <c r="BF209" s="1635"/>
      <c r="BG209" s="1635"/>
      <c r="BH209" s="1635"/>
      <c r="BI209" s="1635"/>
      <c r="BJ209" s="1635"/>
      <c r="BK209" s="1635"/>
      <c r="BL209" s="1635"/>
      <c r="BM209" s="1635"/>
      <c r="BN209" s="1635"/>
      <c r="BO209" s="1635"/>
      <c r="BP209" s="1635"/>
      <c r="BQ209" s="1635"/>
      <c r="BR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N210" s="1639"/>
      <c r="AO210" s="1639"/>
      <c r="AP210" s="1639"/>
      <c r="AQ210" s="1639"/>
      <c r="AR210" s="1639"/>
      <c r="AS210" s="1639"/>
      <c r="AT210" s="1639"/>
      <c r="AU210" s="1639"/>
      <c r="AW210" s="1635"/>
      <c r="AZ210" s="1635"/>
      <c r="BA210" s="1635"/>
      <c r="BB210" s="1635"/>
      <c r="BC210" s="1635"/>
      <c r="BE210" s="1635"/>
      <c r="BF210" s="1635"/>
      <c r="BG210" s="1635"/>
      <c r="BH210" s="1635"/>
      <c r="BI210" s="1635"/>
      <c r="BJ210" s="1635"/>
      <c r="BK210" s="1635"/>
      <c r="BL210" s="1635"/>
      <c r="BM210" s="1635"/>
      <c r="BN210" s="1635"/>
      <c r="BO210" s="1635"/>
      <c r="BP210" s="1635"/>
      <c r="BQ210" s="1635"/>
      <c r="BR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M211" s="1639"/>
      <c r="AN211" s="1639"/>
      <c r="AO211" s="1639"/>
      <c r="AP211" s="1639"/>
      <c r="AQ211" s="1639"/>
      <c r="AR211" s="1639"/>
      <c r="AS211" s="1639"/>
      <c r="AT211" s="1639"/>
      <c r="AU211" s="1639"/>
      <c r="AW211" s="1635"/>
      <c r="AZ211" s="1635"/>
      <c r="BA211" s="1635"/>
      <c r="BB211" s="1635"/>
      <c r="BC211" s="1635"/>
      <c r="BE211" s="1635"/>
      <c r="BF211" s="1635"/>
      <c r="BG211" s="1635"/>
      <c r="BH211" s="1635"/>
      <c r="BI211" s="1635"/>
      <c r="BJ211" s="1635"/>
      <c r="BK211" s="1635"/>
      <c r="BL211" s="1635"/>
      <c r="BM211" s="1635"/>
      <c r="BN211" s="1635"/>
      <c r="BO211" s="1635"/>
      <c r="BP211" s="1635"/>
      <c r="BQ211" s="1635"/>
      <c r="BR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M212" s="1639"/>
      <c r="AN212" s="1639"/>
      <c r="AO212" s="1639"/>
      <c r="AP212" s="1639"/>
      <c r="AQ212" s="1639"/>
      <c r="AR212" s="1639"/>
      <c r="AS212" s="1639"/>
      <c r="AT212" s="1639"/>
      <c r="AU212" s="1639"/>
      <c r="AW212" s="1635"/>
      <c r="AZ212" s="1635"/>
      <c r="BA212" s="1635"/>
      <c r="BB212" s="1635"/>
      <c r="BC212" s="1635"/>
      <c r="BE212" s="1635"/>
      <c r="BF212" s="1635"/>
      <c r="BG212" s="1635"/>
      <c r="BH212" s="1635"/>
      <c r="BI212" s="1635"/>
      <c r="BJ212" s="1635"/>
      <c r="BK212" s="1635"/>
      <c r="BL212" s="1635"/>
      <c r="BM212" s="1635"/>
      <c r="BN212" s="1635"/>
      <c r="BO212" s="1635"/>
      <c r="BP212" s="1635"/>
      <c r="BQ212" s="1635"/>
      <c r="BR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M213" s="1639"/>
      <c r="AN213" s="1639"/>
      <c r="AO213" s="1639"/>
      <c r="AP213" s="1639"/>
      <c r="AQ213" s="1639"/>
      <c r="AR213" s="1639"/>
      <c r="AS213" s="1639"/>
      <c r="AT213" s="1639"/>
      <c r="AU213" s="1639"/>
      <c r="AW213" s="1635"/>
      <c r="AZ213" s="1635"/>
      <c r="BA213" s="1635"/>
      <c r="BB213" s="1635"/>
      <c r="BC213" s="1635"/>
      <c r="BE213" s="1635"/>
      <c r="BF213" s="1635"/>
      <c r="BG213" s="1635"/>
      <c r="BH213" s="1635"/>
      <c r="BI213" s="1635"/>
      <c r="BJ213" s="1635"/>
      <c r="BK213" s="1635"/>
      <c r="BL213" s="1635"/>
      <c r="BM213" s="1635"/>
      <c r="BN213" s="1635"/>
      <c r="BO213" s="1635"/>
      <c r="BP213" s="1635"/>
      <c r="BQ213" s="1635"/>
      <c r="BR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M214" s="1639"/>
      <c r="AN214" s="1639"/>
      <c r="AO214" s="1639"/>
      <c r="AP214" s="1639"/>
      <c r="AQ214" s="1639"/>
      <c r="AR214" s="1639"/>
      <c r="AS214" s="1639"/>
      <c r="AT214" s="1639"/>
      <c r="AU214" s="1639"/>
      <c r="AW214" s="1635"/>
      <c r="AZ214" s="1635"/>
      <c r="BA214" s="1635"/>
      <c r="BB214" s="1635"/>
      <c r="BC214" s="1635"/>
      <c r="BE214" s="1635"/>
      <c r="BF214" s="1635"/>
      <c r="BG214" s="1635"/>
      <c r="BH214" s="1635"/>
      <c r="BI214" s="1635"/>
      <c r="BJ214" s="1635"/>
      <c r="BK214" s="1635"/>
      <c r="BL214" s="1635"/>
      <c r="BM214" s="1635"/>
      <c r="BN214" s="1635"/>
      <c r="BO214" s="1635"/>
      <c r="BP214" s="1635"/>
      <c r="BQ214" s="1635"/>
      <c r="BR214" s="1635">
        <v>11</v>
      </c>
    </row>
    <row customHeight="1" ht="11.25" hidden="1">
      <c r="A215" s="991" t="s">
        <v>81</v>
      </c>
      <c r="B215" s="1164">
        <v>0</v>
      </c>
      <c r="C215" s="1640">
        <v>0</v>
      </c>
      <c r="D215" s="1639">
        <v>3</v>
      </c>
      <c r="E215" s="1635">
        <v>7</v>
      </c>
      <c r="F215" s="1635">
        <v>54</v>
      </c>
      <c r="G215" s="1635">
        <v>10</v>
      </c>
      <c r="H215" s="1635">
        <v>0</v>
      </c>
      <c r="I215" s="1635">
        <v>40</v>
      </c>
      <c r="J215" s="1639">
        <v>0</v>
      </c>
      <c r="K215" s="1639">
        <v>0</v>
      </c>
      <c r="L215" s="1639">
        <v>0</v>
      </c>
      <c r="M215" s="1639">
        <v>0</v>
      </c>
      <c r="N215" s="1639">
        <v>0</v>
      </c>
      <c r="O215" s="1639">
        <v>0</v>
      </c>
      <c r="P215" s="1639">
        <v>0</v>
      </c>
      <c r="Q215" s="1639">
        <v>0</v>
      </c>
      <c r="R215" s="1639">
        <v>0</v>
      </c>
      <c r="S215" s="1639">
        <v>0</v>
      </c>
      <c r="T215" s="1639">
        <v>0</v>
      </c>
      <c r="U215" s="1639">
        <v>0</v>
      </c>
      <c r="V215" s="1639">
        <v>0</v>
      </c>
      <c r="W215" s="1639">
        <v>0</v>
      </c>
      <c r="X215" s="1639">
        <v>0</v>
      </c>
      <c r="Y215" s="1639">
        <v>0</v>
      </c>
      <c r="Z215" s="1639">
        <v>0</v>
      </c>
      <c r="AA215" s="1639">
        <v>0</v>
      </c>
      <c r="AB215" s="1639">
        <v>0</v>
      </c>
      <c r="AC215" s="1639">
        <v>0</v>
      </c>
      <c r="AD215" s="1639">
        <v>0</v>
      </c>
      <c r="AE215" s="1639">
        <v>0</v>
      </c>
      <c r="AF215" s="1639">
        <v>0</v>
      </c>
      <c r="AG215" s="1639">
        <v>0</v>
      </c>
      <c r="AH215" s="1639">
        <v>0</v>
      </c>
      <c r="AI215" s="1639">
        <v>0</v>
      </c>
      <c r="AJ215" s="1639">
        <v>0</v>
      </c>
      <c r="AK215" s="1639">
        <v>0</v>
      </c>
      <c r="AL215" s="1639">
        <v>0</v>
      </c>
      <c r="AM215" s="1639">
        <v>0</v>
      </c>
      <c r="AN215" s="1639">
        <v>0</v>
      </c>
      <c r="AO215" s="1639">
        <v>0</v>
      </c>
      <c r="AP215" s="1639">
        <v>0</v>
      </c>
      <c r="AQ215" s="1639">
        <v>0</v>
      </c>
      <c r="AR215" s="1639">
        <v>0</v>
      </c>
      <c r="AS215" s="1639">
        <v>0</v>
      </c>
      <c r="AT215" s="1639">
        <v>0</v>
      </c>
      <c r="AU215" s="1639">
        <v>0</v>
      </c>
      <c r="AV215" s="1635">
        <v>102</v>
      </c>
      <c r="AW215" s="1164">
        <v>9</v>
      </c>
      <c r="AX215" s="1640">
        <v>5</v>
      </c>
      <c r="AY215" s="1640">
        <v>3</v>
      </c>
      <c r="AZ215" s="1164">
        <v>3</v>
      </c>
      <c r="BA215" s="1164">
        <v>3</v>
      </c>
      <c r="BB215" s="1164">
        <v>3</v>
      </c>
      <c r="BC215" s="1164">
        <v>3</v>
      </c>
      <c r="BD215" s="1640">
        <v>10</v>
      </c>
      <c r="BE215" s="1164">
        <v>34</v>
      </c>
      <c r="BF215" s="1164">
        <v>9</v>
      </c>
      <c r="BG215" s="548">
        <v>8</v>
      </c>
      <c r="BH215" s="1164">
        <v>8</v>
      </c>
      <c r="BI215" s="1164">
        <v>8</v>
      </c>
      <c r="BJ215" s="1164">
        <v>8</v>
      </c>
      <c r="BK215" s="1164">
        <v>8</v>
      </c>
      <c r="BL215" s="1164">
        <v>8</v>
      </c>
      <c r="BM215" s="1636">
        <v>8</v>
      </c>
      <c r="BN215" s="1636">
        <v>8</v>
      </c>
      <c r="BO215" s="1636">
        <v>8</v>
      </c>
      <c r="BP215" s="1636">
        <v>8</v>
      </c>
      <c r="BQ215" s="1636">
        <v>8</v>
      </c>
      <c r="BR215" s="1635">
        <v>11</v>
      </c>
    </row>
  </sheetData>
  <sheetProtection formatColumns="0" formatRows="0" autoFilter="0" sort="0" insertRows="0" insertColumns="1" deleteRows="0" deleteColumns="0"/>
  <mergeCells count="9">
    <mergeCell ref="F45:G45"/>
    <mergeCell ref="E6:I6"/>
    <mergeCell ref="E7:I7"/>
    <mergeCell ref="F10:G10"/>
    <mergeCell ref="AV10:AV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U28">
      <formula1>900</formula1>
    </dataValidation>
    <dataValidation type="decimal" allowBlank="1" showErrorMessage="1" errorTitle="Ошибка" error="Допускается ввод только неотрицательных чисел!" sqref="H32:AU32 H2:AU2 H15:AU15 H17:AU27 H30:AU30 H41:AU42 H38:AU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U36">
      <formula1>900</formula1>
    </dataValidation>
    <dataValidation type="decimal" allowBlank="1" showErrorMessage="1" errorTitle="Ошибка" error="Допускается ввод только действительных чисел!" sqref="H31:AU31">
      <formula1>-9.99999999999999E+23</formula1>
      <formula2>9.99999999999999E+23</formula2>
    </dataValidation>
    <dataValidation type="decimal" allowBlank="1" showErrorMessage="1" errorTitle="Ошибка" error="Допускается ввод только действительных чисел!" sqref="H33:AU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B7FB-01B8-2B7F-9528-46B4B72F0886}" mc:Ignorable="x14ac xr xr2 xr3">
  <sheetPr>
    <tabColor theme="9" tint="-0.25"/>
  </sheetPr>
  <dimension ref="A1:CV102"/>
  <sheetViews>
    <sheetView showGridLines="0" zoomScale="90" workbookViewId="0">
      <pane xSplit="8" ySplit="11" topLeftCell="AB43" activePane="bottomRight" state="frozen"/>
      <selection pane="bottomLeft" activeCell="A12" sqref="A12"/>
      <selection pane="topRight" activeCell="I1" sqref="I1"/>
      <selection pane="bottomRight" activeCell="AJ49" sqref="AJ49"/>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10" style="1639" width="13.171875" customWidth="1"/>
    <col min="11" max="86" style="1639" width="9.203125" customWidth="1"/>
    <col min="87" max="87" style="1639" width="73.00390625" customWidth="1"/>
    <col min="88" max="88" style="1639" width="3.00390625" customWidth="1"/>
    <col min="89" max="99" style="1639" width="10.00390625" customWidth="1"/>
    <col min="100" max="100"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t="s">
        <v>89</v>
      </c>
      <c r="BT1" s="1370"/>
      <c r="BU1" s="1370">
        <v>4</v>
      </c>
      <c r="BV1" s="1370"/>
      <c r="BW1" s="1370" t="s">
        <v>89</v>
      </c>
      <c r="BX1" s="1370"/>
      <c r="BY1" s="1370" t="s">
        <v>89</v>
      </c>
      <c r="BZ1" s="1370"/>
      <c r="CA1" s="1370">
        <v>4</v>
      </c>
      <c r="CB1" s="1370"/>
      <c r="CC1" s="1370">
        <v>4</v>
      </c>
      <c r="CD1" s="1370"/>
      <c r="CE1" s="1370">
        <v>4</v>
      </c>
      <c r="CF1" s="1370"/>
      <c r="CG1" s="1370">
        <v>4</v>
      </c>
      <c r="CH1" s="1370"/>
      <c r="CI1" s="421">
        <v>5</v>
      </c>
      <c r="CV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V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V3" s="509">
        <v>75</v>
      </c>
    </row>
    <row s="1639" customFormat="1" customHeight="1" ht="21">
      <c r="A4" s="955"/>
      <c r="B4" s="515"/>
      <c r="D4" s="2231" t="str">
        <f>IF(org=0,"Не определено",org)</f>
        <v>КГУП "Примтеплоэнерго"</v>
      </c>
      <c r="E4" s="2232"/>
      <c r="F4" s="223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V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1639"/>
      <c r="AN5" s="756"/>
      <c r="AO5" s="1639"/>
      <c r="AP5" s="756"/>
      <c r="AQ5" s="1639"/>
      <c r="AR5" s="756"/>
      <c r="AS5" s="1639"/>
      <c r="AT5" s="756"/>
      <c r="AU5" s="1639"/>
      <c r="AV5" s="756"/>
      <c r="AW5" s="1639"/>
      <c r="AX5" s="756"/>
      <c r="AY5" s="1639"/>
      <c r="AZ5" s="756"/>
      <c r="BA5" s="1639"/>
      <c r="BB5" s="756"/>
      <c r="BC5" s="1639"/>
      <c r="BD5" s="756"/>
      <c r="BE5" s="1639"/>
      <c r="BF5" s="756"/>
      <c r="BG5" s="1639"/>
      <c r="BH5" s="756"/>
      <c r="BI5" s="1639"/>
      <c r="BJ5" s="756"/>
      <c r="BK5" s="1639"/>
      <c r="BL5" s="756"/>
      <c r="BM5" s="1639"/>
      <c r="BN5" s="756"/>
      <c r="BO5" s="1639"/>
      <c r="BP5" s="756"/>
      <c r="BQ5" s="1639"/>
      <c r="BR5" s="756"/>
      <c r="BS5" s="1639"/>
      <c r="BT5" s="756"/>
      <c r="BU5" s="1639"/>
      <c r="BV5" s="756"/>
      <c r="BW5" s="1639"/>
      <c r="BX5" s="756"/>
      <c r="BY5" s="1639"/>
      <c r="BZ5" s="756"/>
      <c r="CA5" s="1639"/>
      <c r="CB5" s="756"/>
      <c r="CC5" s="1639"/>
      <c r="CD5" s="756"/>
      <c r="CE5" s="1639"/>
      <c r="CF5" s="756"/>
      <c r="CG5" s="1639"/>
      <c r="CH5" s="756"/>
      <c r="CI5" s="592"/>
      <c r="CV5" s="509">
        <v>11</v>
      </c>
    </row>
    <row customHeight="1" ht="1.05">
      <c r="C6" s="513"/>
      <c r="D6" s="513"/>
      <c r="E6" s="526"/>
      <c r="F6" s="618"/>
      <c r="G6" s="1026"/>
      <c r="H6" s="1026"/>
      <c r="I6" s="1026" t="s">
        <v>182</v>
      </c>
      <c r="J6" s="1026"/>
      <c r="K6" s="1026" t="s">
        <v>238</v>
      </c>
      <c r="L6" s="1026"/>
      <c r="M6" s="1026" t="s">
        <v>250</v>
      </c>
      <c r="N6" s="1026"/>
      <c r="O6" s="1026" t="s">
        <v>253</v>
      </c>
      <c r="P6" s="1026"/>
      <c r="Q6" s="1026" t="s">
        <v>186</v>
      </c>
      <c r="R6" s="1026"/>
      <c r="S6" s="1026" t="s">
        <v>188</v>
      </c>
      <c r="T6" s="1026"/>
      <c r="U6" s="1026" t="s">
        <v>190</v>
      </c>
      <c r="V6" s="1026"/>
      <c r="W6" s="1026" t="s">
        <v>192</v>
      </c>
      <c r="X6" s="1026"/>
      <c r="Y6" s="1026" t="s">
        <v>194</v>
      </c>
      <c r="Z6" s="1026"/>
      <c r="AA6" s="1026" t="s">
        <v>196</v>
      </c>
      <c r="AB6" s="1026"/>
      <c r="AC6" s="1026" t="s">
        <v>198</v>
      </c>
      <c r="AD6" s="1026"/>
      <c r="AE6" s="1026" t="s">
        <v>201</v>
      </c>
      <c r="AF6" s="1026"/>
      <c r="AG6" s="1026" t="s">
        <v>203</v>
      </c>
      <c r="AH6" s="1026"/>
      <c r="AI6" s="1026" t="s">
        <v>207</v>
      </c>
      <c r="AJ6" s="1026"/>
      <c r="AK6" s="1026" t="s">
        <v>211</v>
      </c>
      <c r="AL6" s="1026"/>
      <c r="AM6" s="1026" t="s">
        <v>213</v>
      </c>
      <c r="AN6" s="1026"/>
      <c r="AO6" s="1026" t="s">
        <v>215</v>
      </c>
      <c r="AP6" s="1026"/>
      <c r="AQ6" s="1026" t="s">
        <v>217</v>
      </c>
      <c r="AR6" s="1026"/>
      <c r="AS6" s="1026" t="s">
        <v>225</v>
      </c>
      <c r="AT6" s="1026"/>
      <c r="AU6" s="1026" t="s">
        <v>229</v>
      </c>
      <c r="AV6" s="1026"/>
      <c r="AW6" s="1026" t="s">
        <v>231</v>
      </c>
      <c r="AX6" s="1026"/>
      <c r="AY6" s="1026" t="s">
        <v>235</v>
      </c>
      <c r="AZ6" s="1026"/>
      <c r="BA6" s="1026" t="s">
        <v>205</v>
      </c>
      <c r="BB6" s="1026"/>
      <c r="BC6" s="1026" t="s">
        <v>209</v>
      </c>
      <c r="BD6" s="1026"/>
      <c r="BE6" s="1026" t="s">
        <v>219</v>
      </c>
      <c r="BF6" s="1026"/>
      <c r="BG6" s="1026" t="s">
        <v>221</v>
      </c>
      <c r="BH6" s="1026"/>
      <c r="BI6" s="1026" t="s">
        <v>223</v>
      </c>
      <c r="BJ6" s="1026"/>
      <c r="BK6" s="1026" t="s">
        <v>227</v>
      </c>
      <c r="BL6" s="1026"/>
      <c r="BM6" s="1026" t="s">
        <v>233</v>
      </c>
      <c r="BN6" s="1026"/>
      <c r="BO6" s="1026" t="s">
        <v>240</v>
      </c>
      <c r="BP6" s="1026"/>
      <c r="BQ6" s="1026" t="s">
        <v>242</v>
      </c>
      <c r="BR6" s="1026"/>
      <c r="BS6" s="1026" t="s">
        <v>244</v>
      </c>
      <c r="BT6" s="1026"/>
      <c r="BU6" s="1026" t="s">
        <v>246</v>
      </c>
      <c r="BV6" s="1026"/>
      <c r="BW6" s="1026" t="s">
        <v>248</v>
      </c>
      <c r="BX6" s="1026"/>
      <c r="BY6" s="1026" t="s">
        <v>256</v>
      </c>
      <c r="BZ6" s="1026"/>
      <c r="CA6" s="1026" t="s">
        <v>258</v>
      </c>
      <c r="CB6" s="1026"/>
      <c r="CC6" s="1026" t="s">
        <v>260</v>
      </c>
      <c r="CD6" s="1026"/>
      <c r="CE6" s="1026" t="s">
        <v>262</v>
      </c>
      <c r="CF6" s="1026"/>
      <c r="CG6" s="1026" t="s">
        <v>264</v>
      </c>
      <c r="CH6" s="1026"/>
      <c r="CV6" s="509">
        <v>1</v>
      </c>
    </row>
    <row customHeight="1" ht="11.549999999999999">
      <c r="D7" s="715"/>
      <c r="E7" s="2384" t="s">
        <v>173</v>
      </c>
      <c r="F7" s="2385"/>
      <c r="G7" s="2410" t="str">
        <f>IF(G6="","",INDEX(DIFFERENTIATION_UNMERGE_VD,MATCH(G6,DIFFERENTIATION_ID_DIFF,0)))</f>
        <v/>
      </c>
      <c r="H7" s="2411"/>
      <c r="I7" s="2410" t="str">
        <f>IF(I6="","",INDEX(DIFFERENTIATION_UNMERGE_VD,MATCH(I6,DIFFERENTIATION_ID_DIFF,0)))</f>
        <v>Холодное водоснабжение. Питьевая вода</v>
      </c>
      <c r="J7" s="2411"/>
      <c r="K7" s="2410" t="str">
        <f>IF(K6="","",INDEX(DIFFERENTIATION_UNMERGE_VD,MATCH(K6,DIFFERENTIATION_ID_DIFF,0)))</f>
        <v>Подключение (технологическое присоединение) к централизованной системе водоснабжения</v>
      </c>
      <c r="L7" s="2411"/>
      <c r="M7" s="2410" t="str">
        <f>IF(M6="","",INDEX(DIFFERENTIATION_UNMERGE_VD,MATCH(M6,DIFFERENTIATION_ID_DIFF,0)))</f>
        <v>Холодное водоснабжение. Техническая вода</v>
      </c>
      <c r="N7" s="2411"/>
      <c r="O7" s="2410" t="str">
        <f>IF(O6="","",INDEX(DIFFERENTIATION_UNMERGE_VD,MATCH(O6,DIFFERENTIATION_ID_DIFF,0)))</f>
        <v>Холодное водоснабжение. Подвозная вода</v>
      </c>
      <c r="P7" s="2411"/>
      <c r="Q7" s="2410" t="str">
        <f>IF(Q6="","",INDEX(DIFFERENTIATION_UNMERGE_VD,MATCH(Q6,DIFFERENTIATION_ID_DIFF,0)))</f>
        <v>Холодное водоснабжение. Питьевая вода</v>
      </c>
      <c r="R7" s="2411"/>
      <c r="S7" s="2410" t="str">
        <f>IF(S6="","",INDEX(DIFFERENTIATION_UNMERGE_VD,MATCH(S6,DIFFERENTIATION_ID_DIFF,0)))</f>
        <v>Холодное водоснабжение. Питьевая вода</v>
      </c>
      <c r="T7" s="2411"/>
      <c r="U7" s="2410" t="str">
        <f>IF(U6="","",INDEX(DIFFERENTIATION_UNMERGE_VD,MATCH(U6,DIFFERENTIATION_ID_DIFF,0)))</f>
        <v>Холодное водоснабжение. Питьевая вода</v>
      </c>
      <c r="V7" s="2411"/>
      <c r="W7" s="2410" t="str">
        <f>IF(W6="","",INDEX(DIFFERENTIATION_UNMERGE_VD,MATCH(W6,DIFFERENTIATION_ID_DIFF,0)))</f>
        <v>Холодное водоснабжение. Питьевая вода</v>
      </c>
      <c r="X7" s="2411"/>
      <c r="Y7" s="2410" t="str">
        <f>IF(Y6="","",INDEX(DIFFERENTIATION_UNMERGE_VD,MATCH(Y6,DIFFERENTIATION_ID_DIFF,0)))</f>
        <v>Холодное водоснабжение. Питьевая вода</v>
      </c>
      <c r="Z7" s="2411"/>
      <c r="AA7" s="2410" t="str">
        <f>IF(AA6="","",INDEX(DIFFERENTIATION_UNMERGE_VD,MATCH(AA6,DIFFERENTIATION_ID_DIFF,0)))</f>
        <v>Холодное водоснабжение. Питьевая вода</v>
      </c>
      <c r="AB7" s="2411"/>
      <c r="AC7" s="2410" t="str">
        <f>IF(AC6="","",INDEX(DIFFERENTIATION_UNMERGE_VD,MATCH(AC6,DIFFERENTIATION_ID_DIFF,0)))</f>
        <v>Холодное водоснабжение. Питьевая вода</v>
      </c>
      <c r="AD7" s="2411"/>
      <c r="AE7" s="2410" t="str">
        <f>IF(AE6="","",INDEX(DIFFERENTIATION_UNMERGE_VD,MATCH(AE6,DIFFERENTIATION_ID_DIFF,0)))</f>
        <v>Холодное водоснабжение. Питьевая вода</v>
      </c>
      <c r="AF7" s="2411"/>
      <c r="AG7" s="2410" t="str">
        <f>IF(AG6="","",INDEX(DIFFERENTIATION_UNMERGE_VD,MATCH(AG6,DIFFERENTIATION_ID_DIFF,0)))</f>
        <v>Холодное водоснабжение. Питьевая вода</v>
      </c>
      <c r="AH7" s="2411"/>
      <c r="AI7" s="2410" t="str">
        <f>IF(AI6="","",INDEX(DIFFERENTIATION_UNMERGE_VD,MATCH(AI6,DIFFERENTIATION_ID_DIFF,0)))</f>
        <v>Холодное водоснабжение. Питьевая вода</v>
      </c>
      <c r="AJ7" s="2411"/>
      <c r="AK7" s="2410" t="str">
        <f>IF(AK6="","",INDEX(DIFFERENTIATION_UNMERGE_VD,MATCH(AK6,DIFFERENTIATION_ID_DIFF,0)))</f>
        <v>Холодное водоснабжение. Питьевая вода</v>
      </c>
      <c r="AL7" s="2411"/>
      <c r="AM7" s="2410" t="str">
        <f>IF(AM6="","",INDEX(DIFFERENTIATION_UNMERGE_VD,MATCH(AM6,DIFFERENTIATION_ID_DIFF,0)))</f>
        <v>Холодное водоснабжение. Питьевая вода</v>
      </c>
      <c r="AN7" s="2411"/>
      <c r="AO7" s="2410" t="str">
        <f>IF(AO6="","",INDEX(DIFFERENTIATION_UNMERGE_VD,MATCH(AO6,DIFFERENTIATION_ID_DIFF,0)))</f>
        <v>Холодное водоснабжение. Питьевая вода</v>
      </c>
      <c r="AP7" s="2411"/>
      <c r="AQ7" s="2410" t="str">
        <f>IF(AQ6="","",INDEX(DIFFERENTIATION_UNMERGE_VD,MATCH(AQ6,DIFFERENTIATION_ID_DIFF,0)))</f>
        <v>Холодное водоснабжение. Питьевая вода</v>
      </c>
      <c r="AR7" s="2411"/>
      <c r="AS7" s="2410" t="str">
        <f>IF(AS6="","",INDEX(DIFFERENTIATION_UNMERGE_VD,MATCH(AS6,DIFFERENTIATION_ID_DIFF,0)))</f>
        <v>Холодное водоснабжение. Питьевая вода</v>
      </c>
      <c r="AT7" s="2411"/>
      <c r="AU7" s="2410" t="str">
        <f>IF(AU6="","",INDEX(DIFFERENTIATION_UNMERGE_VD,MATCH(AU6,DIFFERENTIATION_ID_DIFF,0)))</f>
        <v>Холодное водоснабжение. Питьевая вода</v>
      </c>
      <c r="AV7" s="2411"/>
      <c r="AW7" s="2410" t="str">
        <f>IF(AW6="","",INDEX(DIFFERENTIATION_UNMERGE_VD,MATCH(AW6,DIFFERENTIATION_ID_DIFF,0)))</f>
        <v>Холодное водоснабжение. Питьевая вода</v>
      </c>
      <c r="AX7" s="2411"/>
      <c r="AY7" s="2410" t="str">
        <f>IF(AY6="","",INDEX(DIFFERENTIATION_UNMERGE_VD,MATCH(AY6,DIFFERENTIATION_ID_DIFF,0)))</f>
        <v>Холодное водоснабжение. Питьевая вода</v>
      </c>
      <c r="AZ7" s="2411"/>
      <c r="BA7" s="2410" t="str">
        <f>IF(BA6="","",INDEX(DIFFERENTIATION_UNMERGE_VD,MATCH(BA6,DIFFERENTIATION_ID_DIFF,0)))</f>
        <v>Холодное водоснабжение. Питьевая вода</v>
      </c>
      <c r="BB7" s="2411"/>
      <c r="BC7" s="2410" t="str">
        <f>IF(BC6="","",INDEX(DIFFERENTIATION_UNMERGE_VD,MATCH(BC6,DIFFERENTIATION_ID_DIFF,0)))</f>
        <v>Холодное водоснабжение. Питьевая вода</v>
      </c>
      <c r="BD7" s="2411"/>
      <c r="BE7" s="2410" t="str">
        <f>IF(BE6="","",INDEX(DIFFERENTIATION_UNMERGE_VD,MATCH(BE6,DIFFERENTIATION_ID_DIFF,0)))</f>
        <v>Холодное водоснабжение. Питьевая вода</v>
      </c>
      <c r="BF7" s="2411"/>
      <c r="BG7" s="2410" t="str">
        <f>IF(BG6="","",INDEX(DIFFERENTIATION_UNMERGE_VD,MATCH(BG6,DIFFERENTIATION_ID_DIFF,0)))</f>
        <v>Холодное водоснабжение. Питьевая вода</v>
      </c>
      <c r="BH7" s="2411"/>
      <c r="BI7" s="2410" t="str">
        <f>IF(BI6="","",INDEX(DIFFERENTIATION_UNMERGE_VD,MATCH(BI6,DIFFERENTIATION_ID_DIFF,0)))</f>
        <v>Холодное водоснабжение. Питьевая вода</v>
      </c>
      <c r="BJ7" s="2411"/>
      <c r="BK7" s="2410" t="str">
        <f>IF(BK6="","",INDEX(DIFFERENTIATION_UNMERGE_VD,MATCH(BK6,DIFFERENTIATION_ID_DIFF,0)))</f>
        <v>Холодное водоснабжение. Питьевая вода</v>
      </c>
      <c r="BL7" s="2411"/>
      <c r="BM7" s="2410" t="str">
        <f>IF(BM6="","",INDEX(DIFFERENTIATION_UNMERGE_VD,MATCH(BM6,DIFFERENTIATION_ID_DIFF,0)))</f>
        <v>Холодное водоснабжение. Питьевая вода</v>
      </c>
      <c r="BN7" s="2411"/>
      <c r="BO7" s="2410" t="str">
        <f>IF(BO6="","",INDEX(DIFFERENTIATION_UNMERGE_VD,MATCH(BO6,DIFFERENTIATION_ID_DIFF,0)))</f>
        <v>Подключение (технологическое присоединение) к централизованной системе водоснабжения</v>
      </c>
      <c r="BP7" s="2411"/>
      <c r="BQ7" s="2410" t="str">
        <f>IF(BQ6="","",INDEX(DIFFERENTIATION_UNMERGE_VD,MATCH(BQ6,DIFFERENTIATION_ID_DIFF,0)))</f>
        <v>Подключение (технологическое присоединение) к централизованной системе водоснабжения</v>
      </c>
      <c r="BR7" s="2411"/>
      <c r="BS7" s="2410" t="str">
        <f>IF(BS6="","",INDEX(DIFFERENTIATION_UNMERGE_VD,MATCH(BS6,DIFFERENTIATION_ID_DIFF,0)))</f>
        <v>Подключение (технологическое присоединение) к централизованной системе водоснабжения</v>
      </c>
      <c r="BT7" s="2411"/>
      <c r="BU7" s="2410" t="str">
        <f>IF(BU6="","",INDEX(DIFFERENTIATION_UNMERGE_VD,MATCH(BU6,DIFFERENTIATION_ID_DIFF,0)))</f>
        <v>Подключение (технологическое присоединение) к централизованной системе водоснабжения</v>
      </c>
      <c r="BV7" s="2411"/>
      <c r="BW7" s="2410" t="str">
        <f>IF(BW6="","",INDEX(DIFFERENTIATION_UNMERGE_VD,MATCH(BW6,DIFFERENTIATION_ID_DIFF,0)))</f>
        <v>Подключение (технологическое присоединение) к централизованной системе водоснабжения</v>
      </c>
      <c r="BX7" s="2411"/>
      <c r="BY7" s="2410" t="str">
        <f>IF(BY6="","",INDEX(DIFFERENTIATION_UNMERGE_VD,MATCH(BY6,DIFFERENTIATION_ID_DIFF,0)))</f>
        <v>Холодное водоснабжение. Подвозная вода</v>
      </c>
      <c r="BZ7" s="2411"/>
      <c r="CA7" s="2410" t="str">
        <f>IF(CA6="","",INDEX(DIFFERENTIATION_UNMERGE_VD,MATCH(CA6,DIFFERENTIATION_ID_DIFF,0)))</f>
        <v>Холодное водоснабжение. Подвозная вода</v>
      </c>
      <c r="CB7" s="2411"/>
      <c r="CC7" s="2410" t="str">
        <f>IF(CC6="","",INDEX(DIFFERENTIATION_UNMERGE_VD,MATCH(CC6,DIFFERENTIATION_ID_DIFF,0)))</f>
        <v>Холодное водоснабжение. Подвозная вода</v>
      </c>
      <c r="CD7" s="2411"/>
      <c r="CE7" s="2410" t="str">
        <f>IF(CE6="","",INDEX(DIFFERENTIATION_UNMERGE_VD,MATCH(CE6,DIFFERENTIATION_ID_DIFF,0)))</f>
        <v>Холодное водоснабжение. Подвозная вода</v>
      </c>
      <c r="CF7" s="2411"/>
      <c r="CG7" s="2410" t="str">
        <f>IF(CG6="","",INDEX(DIFFERENTIATION_UNMERGE_VD,MATCH(CG6,DIFFERENTIATION_ID_DIFF,0)))</f>
        <v>Холодное водоснабжение. Подвозная вода</v>
      </c>
      <c r="CH7" s="2411"/>
      <c r="CI7" s="2192"/>
      <c r="CJ7" s="513"/>
      <c r="CV7" s="509">
        <v>11</v>
      </c>
    </row>
    <row customHeight="1" ht="11.549999999999999">
      <c r="A8" s="708"/>
      <c r="D8" s="715"/>
      <c r="E8" s="2384" t="s">
        <v>702</v>
      </c>
      <c r="F8" s="2385"/>
      <c r="G8" s="2410" t="str">
        <f>IF(G6="","",INDEX(DIFFERENTIATION_UNMERGE_AREA,MATCH(G6,DIFFERENTIATION_ID_DIFF,0)))</f>
        <v/>
      </c>
      <c r="H8" s="2411"/>
      <c r="I8" s="2410" t="str">
        <f>IF(I6="","",INDEX(DIFFERENTIATION_UNMERGE_AREA,MATCH(I6,DIFFERENTIATION_ID_DIFF,0)))</f>
        <v>Территория 1</v>
      </c>
      <c r="J8" s="2411"/>
      <c r="K8" s="2410" t="str">
        <f>IF(K6="","",INDEX(DIFFERENTIATION_UNMERGE_AREA,MATCH(K6,DIFFERENTIATION_ID_DIFF,0)))</f>
        <v>Территория 8</v>
      </c>
      <c r="L8" s="2411"/>
      <c r="M8" s="2410" t="str">
        <f>IF(M6="","",INDEX(DIFFERENTIATION_UNMERGE_AREA,MATCH(M6,DIFFERENTIATION_ID_DIFF,0)))</f>
        <v>Территория 9</v>
      </c>
      <c r="N8" s="2411"/>
      <c r="O8" s="2410" t="str">
        <f>IF(O6="","",INDEX(DIFFERENTIATION_UNMERGE_AREA,MATCH(O6,DIFFERENTIATION_ID_DIFF,0)))</f>
        <v>Территория 2</v>
      </c>
      <c r="P8" s="2411"/>
      <c r="Q8" s="2410" t="str">
        <f>IF(Q6="","",INDEX(DIFFERENTIATION_UNMERGE_AREA,MATCH(Q6,DIFFERENTIATION_ID_DIFF,0)))</f>
        <v>Территория 1</v>
      </c>
      <c r="R8" s="2411"/>
      <c r="S8" s="2410" t="str">
        <f>IF(S6="","",INDEX(DIFFERENTIATION_UNMERGE_AREA,MATCH(S6,DIFFERENTIATION_ID_DIFF,0)))</f>
        <v>Территория 1</v>
      </c>
      <c r="T8" s="2411"/>
      <c r="U8" s="2410" t="str">
        <f>IF(U6="","",INDEX(DIFFERENTIATION_UNMERGE_AREA,MATCH(U6,DIFFERENTIATION_ID_DIFF,0)))</f>
        <v>Территория 1</v>
      </c>
      <c r="V8" s="2411"/>
      <c r="W8" s="2410" t="str">
        <f>IF(W6="","",INDEX(DIFFERENTIATION_UNMERGE_AREA,MATCH(W6,DIFFERENTIATION_ID_DIFF,0)))</f>
        <v>Территория 1</v>
      </c>
      <c r="X8" s="2411"/>
      <c r="Y8" s="2410" t="str">
        <f>IF(Y6="","",INDEX(DIFFERENTIATION_UNMERGE_AREA,MATCH(Y6,DIFFERENTIATION_ID_DIFF,0)))</f>
        <v>Территория 1</v>
      </c>
      <c r="Z8" s="2411"/>
      <c r="AA8" s="2410" t="str">
        <f>IF(AA6="","",INDEX(DIFFERENTIATION_UNMERGE_AREA,MATCH(AA6,DIFFERENTIATION_ID_DIFF,0)))</f>
        <v>Территория 1</v>
      </c>
      <c r="AB8" s="2411"/>
      <c r="AC8" s="2410" t="str">
        <f>IF(AC6="","",INDEX(DIFFERENTIATION_UNMERGE_AREA,MATCH(AC6,DIFFERENTIATION_ID_DIFF,0)))</f>
        <v>Территория 1</v>
      </c>
      <c r="AD8" s="2411"/>
      <c r="AE8" s="2410" t="str">
        <f>IF(AE6="","",INDEX(DIFFERENTIATION_UNMERGE_AREA,MATCH(AE6,DIFFERENTIATION_ID_DIFF,0)))</f>
        <v>Территория 2</v>
      </c>
      <c r="AF8" s="2411"/>
      <c r="AG8" s="2410" t="str">
        <f>IF(AG6="","",INDEX(DIFFERENTIATION_UNMERGE_AREA,MATCH(AG6,DIFFERENTIATION_ID_DIFF,0)))</f>
        <v>Территория 3</v>
      </c>
      <c r="AH8" s="2411"/>
      <c r="AI8" s="2410" t="str">
        <f>IF(AI6="","",INDEX(DIFFERENTIATION_UNMERGE_AREA,MATCH(AI6,DIFFERENTIATION_ID_DIFF,0)))</f>
        <v>Территория 4</v>
      </c>
      <c r="AJ8" s="2411"/>
      <c r="AK8" s="2410" t="str">
        <f>IF(AK6="","",INDEX(DIFFERENTIATION_UNMERGE_AREA,MATCH(AK6,DIFFERENTIATION_ID_DIFF,0)))</f>
        <v>Территория 5</v>
      </c>
      <c r="AL8" s="2411"/>
      <c r="AM8" s="2410" t="str">
        <f>IF(AM6="","",INDEX(DIFFERENTIATION_UNMERGE_AREA,MATCH(AM6,DIFFERENTIATION_ID_DIFF,0)))</f>
        <v>Территория 6</v>
      </c>
      <c r="AN8" s="2411"/>
      <c r="AO8" s="2410" t="str">
        <f>IF(AO6="","",INDEX(DIFFERENTIATION_UNMERGE_AREA,MATCH(AO6,DIFFERENTIATION_ID_DIFF,0)))</f>
        <v>Территория 7</v>
      </c>
      <c r="AP8" s="2411"/>
      <c r="AQ8" s="2410" t="str">
        <f>IF(AQ6="","",INDEX(DIFFERENTIATION_UNMERGE_AREA,MATCH(AQ6,DIFFERENTIATION_ID_DIFF,0)))</f>
        <v>Территория 8</v>
      </c>
      <c r="AR8" s="2411"/>
      <c r="AS8" s="2410" t="str">
        <f>IF(AS6="","",INDEX(DIFFERENTIATION_UNMERGE_AREA,MATCH(AS6,DIFFERENTIATION_ID_DIFF,0)))</f>
        <v>Территория 9</v>
      </c>
      <c r="AT8" s="2411"/>
      <c r="AU8" s="2410" t="str">
        <f>IF(AU6="","",INDEX(DIFFERENTIATION_UNMERGE_AREA,MATCH(AU6,DIFFERENTIATION_ID_DIFF,0)))</f>
        <v>Территория 10</v>
      </c>
      <c r="AV8" s="2411"/>
      <c r="AW8" s="2410" t="str">
        <f>IF(AW6="","",INDEX(DIFFERENTIATION_UNMERGE_AREA,MATCH(AW6,DIFFERENTIATION_ID_DIFF,0)))</f>
        <v>Территория 11</v>
      </c>
      <c r="AX8" s="2411"/>
      <c r="AY8" s="2410" t="str">
        <f>IF(AY6="","",INDEX(DIFFERENTIATION_UNMERGE_AREA,MATCH(AY6,DIFFERENTIATION_ID_DIFF,0)))</f>
        <v>Территория 12</v>
      </c>
      <c r="AZ8" s="2411"/>
      <c r="BA8" s="2410" t="str">
        <f>IF(BA6="","",INDEX(DIFFERENTIATION_UNMERGE_AREA,MATCH(BA6,DIFFERENTIATION_ID_DIFF,0)))</f>
        <v>Территория 3</v>
      </c>
      <c r="BB8" s="2411"/>
      <c r="BC8" s="2410" t="str">
        <f>IF(BC6="","",INDEX(DIFFERENTIATION_UNMERGE_AREA,MATCH(BC6,DIFFERENTIATION_ID_DIFF,0)))</f>
        <v>Территория 4</v>
      </c>
      <c r="BD8" s="2411"/>
      <c r="BE8" s="2410" t="str">
        <f>IF(BE6="","",INDEX(DIFFERENTIATION_UNMERGE_AREA,MATCH(BE6,DIFFERENTIATION_ID_DIFF,0)))</f>
        <v>Территория 8</v>
      </c>
      <c r="BF8" s="2411"/>
      <c r="BG8" s="2410" t="str">
        <f>IF(BG6="","",INDEX(DIFFERENTIATION_UNMERGE_AREA,MATCH(BG6,DIFFERENTIATION_ID_DIFF,0)))</f>
        <v>Территория 8</v>
      </c>
      <c r="BH8" s="2411"/>
      <c r="BI8" s="2410" t="str">
        <f>IF(BI6="","",INDEX(DIFFERENTIATION_UNMERGE_AREA,MATCH(BI6,DIFFERENTIATION_ID_DIFF,0)))</f>
        <v>Территория 8</v>
      </c>
      <c r="BJ8" s="2411"/>
      <c r="BK8" s="2410" t="str">
        <f>IF(BK6="","",INDEX(DIFFERENTIATION_UNMERGE_AREA,MATCH(BK6,DIFFERENTIATION_ID_DIFF,0)))</f>
        <v>Территория 9</v>
      </c>
      <c r="BL8" s="2411"/>
      <c r="BM8" s="2410" t="str">
        <f>IF(BM6="","",INDEX(DIFFERENTIATION_UNMERGE_AREA,MATCH(BM6,DIFFERENTIATION_ID_DIFF,0)))</f>
        <v>Территория 11</v>
      </c>
      <c r="BN8" s="2411"/>
      <c r="BO8" s="2410" t="str">
        <f>IF(BO6="","",INDEX(DIFFERENTIATION_UNMERGE_AREA,MATCH(BO6,DIFFERENTIATION_ID_DIFF,0)))</f>
        <v>Территория 9</v>
      </c>
      <c r="BP8" s="2411"/>
      <c r="BQ8" s="2410" t="str">
        <f>IF(BQ6="","",INDEX(DIFFERENTIATION_UNMERGE_AREA,MATCH(BQ6,DIFFERENTIATION_ID_DIFF,0)))</f>
        <v>Территория 6</v>
      </c>
      <c r="BR8" s="2411"/>
      <c r="BS8" s="2410" t="str">
        <f>IF(BS6="","",INDEX(DIFFERENTIATION_UNMERGE_AREA,MATCH(BS6,DIFFERENTIATION_ID_DIFF,0)))</f>
        <v>Территория 7</v>
      </c>
      <c r="BT8" s="2411"/>
      <c r="BU8" s="2410" t="str">
        <f>IF(BU6="","",INDEX(DIFFERENTIATION_UNMERGE_AREA,MATCH(BU6,DIFFERENTIATION_ID_DIFF,0)))</f>
        <v>Территория 11</v>
      </c>
      <c r="BV8" s="2411"/>
      <c r="BW8" s="2410" t="str">
        <f>IF(BW6="","",INDEX(DIFFERENTIATION_UNMERGE_AREA,MATCH(BW6,DIFFERENTIATION_ID_DIFF,0)))</f>
        <v>Территория 1</v>
      </c>
      <c r="BX8" s="2411"/>
      <c r="BY8" s="2410" t="str">
        <f>IF(BY6="","",INDEX(DIFFERENTIATION_UNMERGE_AREA,MATCH(BY6,DIFFERENTIATION_ID_DIFF,0)))</f>
        <v>Территория 7</v>
      </c>
      <c r="BZ8" s="2411"/>
      <c r="CA8" s="2410" t="str">
        <f>IF(CA6="","",INDEX(DIFFERENTIATION_UNMERGE_AREA,MATCH(CA6,DIFFERENTIATION_ID_DIFF,0)))</f>
        <v>Территория 5</v>
      </c>
      <c r="CB8" s="2411"/>
      <c r="CC8" s="2410" t="str">
        <f>IF(CC6="","",INDEX(DIFFERENTIATION_UNMERGE_AREA,MATCH(CC6,DIFFERENTIATION_ID_DIFF,0)))</f>
        <v>Территория 4</v>
      </c>
      <c r="CD8" s="2411"/>
      <c r="CE8" s="2410" t="str">
        <f>IF(CE6="","",INDEX(DIFFERENTIATION_UNMERGE_AREA,MATCH(CE6,DIFFERENTIATION_ID_DIFF,0)))</f>
        <v>Территория 8</v>
      </c>
      <c r="CF8" s="2411"/>
      <c r="CG8" s="2410" t="str">
        <f>IF(CG6="","",INDEX(DIFFERENTIATION_UNMERGE_AREA,MATCH(CG6,DIFFERENTIATION_ID_DIFF,0)))</f>
        <v>Территория 6</v>
      </c>
      <c r="CH8" s="2411"/>
      <c r="CI8" s="2216"/>
      <c r="CJ8" s="513"/>
      <c r="CV8" s="509">
        <v>11</v>
      </c>
    </row>
    <row customHeight="1" ht="81.66666666666667">
      <c r="A9" s="708"/>
      <c r="D9" s="715"/>
      <c r="E9" s="2384" t="s">
        <v>703</v>
      </c>
      <c r="F9" s="2385"/>
      <c r="G9" s="2410" t="str">
        <f>IF(G6="","",INDEX(DIFFERENTIATION_UNMERGE_SYSTEM,MATCH(G6,DIFFERENTIATION_ID_DIFF,0)))</f>
        <v/>
      </c>
      <c r="H9" s="2411"/>
      <c r="I9" s="2410" t="str">
        <f>IF(I6="","",INDEX(DIFFERENTIATION_UNMERGE_SYSTEM,MATCH(I6,DIFFERENTIATION_ID_DIFF,0)))</f>
        <v>Централизованная система водоснабжения Барабашского сельского поселения</v>
      </c>
      <c r="J9" s="2411"/>
      <c r="K9" s="2410" t="str">
        <f>IF(K6="","",INDEX(DIFFERENTIATION_UNMERGE_SYSTEM,MATCH(K6,DIFFERENTIATION_ID_DIFF,0)))</f>
        <v>Черниговский МР</v>
      </c>
      <c r="L9" s="2411"/>
      <c r="M9" s="2410" t="str">
        <f>IF(M6="","",INDEX(DIFFERENTIATION_UNMERGE_SYSTEM,MATCH(M6,DIFFERENTIATION_ID_DIFF,0)))</f>
        <v> Городской округ Спасск-Дальний, Городской округ Спасск-Дальний (05720000)</v>
      </c>
      <c r="N9" s="2411"/>
      <c r="O9" s="2410" t="str">
        <f>IF(O6="","",INDEX(DIFFERENTIATION_UNMERGE_SYSTEM,MATCH(O6,DIFFERENTIATION_ID_DIFF,0)))</f>
        <v>Анучинский муниципальный округ, Анучинский муниципальный округ (05502000)</v>
      </c>
      <c r="P9" s="2411"/>
      <c r="Q9" s="2410" t="str">
        <f>IF(Q6="","",INDEX(DIFFERENTIATION_UNMERGE_SYSTEM,MATCH(Q6,DIFFERENTIATION_ID_DIFF,0)))</f>
        <v>Централизованная система водоснабжения Барабашского сельского поселения.Военный городок</v>
      </c>
      <c r="R9" s="2411"/>
      <c r="S9" s="2410" t="str">
        <f>IF(S6="","",INDEX(DIFFERENTIATION_UNMERGE_SYSTEM,MATCH(S6,DIFFERENTIATION_ID_DIFF,0)))</f>
        <v>Централизованная система водоснабжения Безверховского сельского поселения</v>
      </c>
      <c r="T9" s="2411"/>
      <c r="U9" s="2410" t="str">
        <f>IF(U6="","",INDEX(DIFFERENTIATION_UNMERGE_SYSTEM,MATCH(U6,DIFFERENTIATION_ID_DIFF,0)))</f>
        <v>Централизованная система водоснабжения Краскинского городского поселения</v>
      </c>
      <c r="V9" s="2411"/>
      <c r="W9" s="2410" t="str">
        <f>IF(W6="","",INDEX(DIFFERENTIATION_UNMERGE_SYSTEM,MATCH(W6,DIFFERENTIATION_ID_DIFF,0)))</f>
        <v>Централизованная система водоснабжения Посьетского городского поселения</v>
      </c>
      <c r="X9" s="2411"/>
      <c r="Y9" s="2410" t="str">
        <f>IF(Y6="","",INDEX(DIFFERENTIATION_UNMERGE_SYSTEM,MATCH(Y6,DIFFERENTIATION_ID_DIFF,0)))</f>
        <v>Централизованная система водоснабжения Приморского городского поселения</v>
      </c>
      <c r="Z9" s="2411"/>
      <c r="AA9" s="2410" t="str">
        <f>IF(AA6="","",INDEX(DIFFERENTIATION_UNMERGE_SYSTEM,MATCH(AA6,DIFFERENTIATION_ID_DIFF,0)))</f>
        <v>Централизованная система водоснабжения пгт.Зарубино Хасанского муниципального округа</v>
      </c>
      <c r="AB9" s="2411"/>
      <c r="AC9" s="2410" t="str">
        <f>IF(AC6="","",INDEX(DIFFERENTIATION_UNMERGE_SYSTEM,MATCH(AC6,DIFFERENTIATION_ID_DIFF,0)))</f>
        <v>Централизованная система водоснабжения пгт. Хасан Хасанского муниципального округа</v>
      </c>
      <c r="AD9" s="2411"/>
      <c r="AE9" s="2410" t="str">
        <f>IF(AE6="","",INDEX(DIFFERENTIATION_UNMERGE_SYSTEM,MATCH(AE6,DIFFERENTIATION_ID_DIFF,0)))</f>
        <v>Централизованная система водоснабжения Анучинского сельского поселения</v>
      </c>
      <c r="AF9" s="2411"/>
      <c r="AG9" s="2410" t="str">
        <f>IF(AG6="","",INDEX(DIFFERENTIATION_UNMERGE_SYSTEM,MATCH(AG6,DIFFERENTIATION_ID_DIFF,0)))</f>
        <v>Централизованная система водоснабжения Романовского сельского поселения</v>
      </c>
      <c r="AH9" s="2411"/>
      <c r="AI9" s="2410" t="str">
        <f>IF(AI6="","",INDEX(DIFFERENTIATION_UNMERGE_SYSTEM,MATCH(AI6,DIFFERENTIATION_ID_DIFF,0)))</f>
        <v>Централизованная система водоснабжения городского округа ЗАТО город Фокино</v>
      </c>
      <c r="AJ9" s="2411"/>
      <c r="AK9" s="2410" t="str">
        <f>IF(AK6="","",INDEX(DIFFERENTIATION_UNMERGE_SYSTEM,MATCH(AK6,DIFFERENTIATION_ID_DIFF,0)))</f>
        <v>Централизованная система водоснабжения Новошахтинского городского поселения</v>
      </c>
      <c r="AL9" s="2411"/>
      <c r="AM9" s="2410" t="str">
        <f>IF(AM6="","",INDEX(DIFFERENTIATION_UNMERGE_SYSTEM,MATCH(AM6,DIFFERENTIATION_ID_DIFF,0)))</f>
        <v>Централизованная система водоснабжения Дальнегорского городского округа</v>
      </c>
      <c r="AN9" s="2411"/>
      <c r="AO9" s="2410" t="str">
        <f>IF(AO6="","",INDEX(DIFFERENTIATION_UNMERGE_SYSTEM,MATCH(AO6,DIFFERENTIATION_ID_DIFF,0)))</f>
        <v>Централизованная система водоснабжения Кавалеровского муниципального района</v>
      </c>
      <c r="AP9" s="2411"/>
      <c r="AQ9" s="2410" t="str">
        <f>IF(AQ6="","",INDEX(DIFFERENTIATION_UNMERGE_SYSTEM,MATCH(AQ6,DIFFERENTIATION_ID_DIFF,0)))</f>
        <v>Централизованная система водоснабжения Дмитриевского сельского поселения</v>
      </c>
      <c r="AR9" s="2411"/>
      <c r="AS9" s="2410" t="str">
        <f>IF(AS6="","",INDEX(DIFFERENTIATION_UNMERGE_SYSTEM,MATCH(AS6,DIFFERENTIATION_ID_DIFF,0)))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T9" s="2411"/>
      <c r="AU9" s="2410" t="str">
        <f>IF(AU6="","",INDEX(DIFFERENTIATION_UNMERGE_SYSTEM,MATCH(AU6,DIFFERENTIATION_ID_DIFF,0)))</f>
        <v>Централизованная система водоснабжения Глубинненского сельского поселения</v>
      </c>
      <c r="AV9" s="2411"/>
      <c r="AW9" s="2410" t="str">
        <f>IF(AW6="","",INDEX(DIFFERENTIATION_UNMERGE_SYSTEM,MATCH(AW6,DIFFERENTIATION_ID_DIFF,0)))</f>
        <v>Централизованная система водоснабжения  Дальнереченского городского округа</v>
      </c>
      <c r="AX9" s="2411"/>
      <c r="AY9" s="2410" t="str">
        <f>IF(AY6="","",INDEX(DIFFERENTIATION_UNMERGE_SYSTEM,MATCH(AY6,DIFFERENTIATION_ID_DIFF,0)))</f>
        <v>Централизованная истема водоснабжения Варфоломеевского сельского поселения (железнодорожная станция Варфоломеевка)</v>
      </c>
      <c r="AZ9" s="2411"/>
      <c r="BA9" s="2410" t="str">
        <f>IF(BA6="","",INDEX(DIFFERENTIATION_UNMERGE_SYSTEM,MATCH(BA6,DIFFERENTIATION_ID_DIFF,0)))</f>
        <v>Централизованная система водоснабжения Штыковского сельского поселения</v>
      </c>
      <c r="BB9" s="2411"/>
      <c r="BC9" s="2410" t="str">
        <f>IF(BC6="","",INDEX(DIFFERENTIATION_UNMERGE_SYSTEM,MATCH(BC6,DIFFERENTIATION_ID_DIFF,0)))</f>
        <v>Централизованная система водоснабжения городского округа ЗАТО город Фокино (п.Путятин)</v>
      </c>
      <c r="BD9" s="2411"/>
      <c r="BE9" s="2410" t="str">
        <f>IF(BE6="","",INDEX(DIFFERENTIATION_UNMERGE_SYSTEM,MATCH(BE6,DIFFERENTIATION_ID_DIFF,0)))</f>
        <v>Централизованная система водоснабжения Реттиховского сельского поселения</v>
      </c>
      <c r="BF9" s="2411"/>
      <c r="BG9" s="2410" t="str">
        <f>IF(BG6="","",INDEX(DIFFERENTIATION_UNMERGE_SYSTEM,MATCH(BG6,DIFFERENTIATION_ID_DIFF,0)))</f>
        <v>Централизованная система водоснабжения Снегуровского сельского поселения </v>
      </c>
      <c r="BH9" s="2411"/>
      <c r="BI9" s="2410" t="str">
        <f>IF(BI6="","",INDEX(DIFFERENTIATION_UNMERGE_SYSTEM,MATCH(BI6,DIFFERENTIATION_ID_DIFF,0)))</f>
        <v>Централизованная система водоснабжения Черниговского сельского поселения</v>
      </c>
      <c r="BJ9" s="2411"/>
      <c r="BK9" s="2410" t="str">
        <f>IF(BK6="","",INDEX(DIFFERENTIATION_UNMERGE_SYSTEM,MATCH(BK6,DIFFERENTIATION_ID_DIFF,0)))</f>
        <v>Централизованная система водоснабжения городского округа Спасск-Дальний МКР Лазо</v>
      </c>
      <c r="BL9" s="2411"/>
      <c r="BM9" s="2410" t="str">
        <f>IF(BM6="","",INDEX(DIFFERENTIATION_UNMERGE_SYSTEM,MATCH(BM6,DIFFERENTIATION_ID_DIFF,0)))</f>
        <v>Централизованная система водоснабжения  Дальнереченского городского округа (в.г.Графский)</v>
      </c>
      <c r="BN9" s="2411"/>
      <c r="BO9" s="2410" t="str">
        <f>IF(BO6="","",INDEX(DIFFERENTIATION_UNMERGE_SYSTEM,MATCH(BO6,DIFFERENTIATION_ID_DIFF,0)))</f>
        <v>Городской округ Спасск-Дальний</v>
      </c>
      <c r="BP9" s="2411"/>
      <c r="BQ9" s="2410" t="str">
        <f>IF(BQ6="","",INDEX(DIFFERENTIATION_UNMERGE_SYSTEM,MATCH(BQ6,DIFFERENTIATION_ID_DIFF,0)))</f>
        <v>Дальнегорский ГО</v>
      </c>
      <c r="BR9" s="2411"/>
      <c r="BS9" s="2410" t="str">
        <f>IF(BS6="","",INDEX(DIFFERENTIATION_UNMERGE_SYSTEM,MATCH(BS6,DIFFERENTIATION_ID_DIFF,0)))</f>
        <v>Кавалеровский МО</v>
      </c>
      <c r="BT9" s="2411"/>
      <c r="BU9" s="2410" t="str">
        <f>IF(BU6="","",INDEX(DIFFERENTIATION_UNMERGE_SYSTEM,MATCH(BU6,DIFFERENTIATION_ID_DIFF,0)))</f>
        <v>Дальнереченский ГО</v>
      </c>
      <c r="BV9" s="2411"/>
      <c r="BW9" s="2410" t="str">
        <f>IF(BW6="","",INDEX(DIFFERENTIATION_UNMERGE_SYSTEM,MATCH(BW6,DIFFERENTIATION_ID_DIFF,0)))</f>
        <v>пгт Посьет Хасанский муниципальный округ</v>
      </c>
      <c r="BX9" s="2411"/>
      <c r="BY9" s="2410" t="str">
        <f>IF(BY6="","",INDEX(DIFFERENTIATION_UNMERGE_SYSTEM,MATCH(BY6,DIFFERENTIATION_ID_DIFF,0)))</f>
        <v>Кавалеровский муниципальный район, Кавалеровкое городское поселение (05610151)</v>
      </c>
      <c r="BZ9" s="2411"/>
      <c r="CA9" s="2410" t="str">
        <f>IF(CA6="","",INDEX(DIFFERENTIATION_UNMERGE_SYSTEM,MATCH(CA6,DIFFERENTIATION_ID_DIFF,0)))</f>
        <v> Михайловский муниципальный район, Новошахтинское городское поселение (05620154)</v>
      </c>
      <c r="CB9" s="2411"/>
      <c r="CC9" s="2410" t="str">
        <f>IF(CC6="","",INDEX(DIFFERENTIATION_UNMERGE_SYSTEM,MATCH(CC6,DIFFERENTIATION_ID_DIFF,0)))</f>
        <v>Городской округ ЗАТО г.Фокино (пгт. Путятин)</v>
      </c>
      <c r="CD9" s="2411"/>
      <c r="CE9" s="2410" t="str">
        <f>IF(CE6="","",INDEX(DIFFERENTIATION_UNMERGE_SYSTEM,MATCH(CE6,DIFFERENTIATION_ID_DIFF,0)))</f>
        <v> Черниговский муниципальный район, Черниговское сельское поселение (05653425)</v>
      </c>
      <c r="CF9" s="2411"/>
      <c r="CG9" s="2410" t="str">
        <f>IF(CG6="","",INDEX(DIFFERENTIATION_UNMERGE_SYSTEM,MATCH(CG6,DIFFERENTIATION_ID_DIFF,0)))</f>
        <v> Дальнегорский городской округ, Дальнегорский городской округ (05707000)</v>
      </c>
      <c r="CH9" s="2411"/>
      <c r="CI9" s="2216"/>
      <c r="CJ9" s="513"/>
      <c r="CV9" s="509">
        <v>11</v>
      </c>
    </row>
    <row s="1639" customFormat="1" customHeight="1" ht="11.549999999999999">
      <c r="A10" s="1025"/>
      <c r="B10" s="515"/>
      <c r="D10" s="2118" t="s">
        <v>438</v>
      </c>
      <c r="E10" s="2119"/>
      <c r="F10" s="2119"/>
      <c r="G10" s="2119"/>
      <c r="H10" s="2119"/>
      <c r="I10" s="2119"/>
      <c r="J10" s="2120"/>
      <c r="K10" s="2286"/>
      <c r="L10" s="2286"/>
      <c r="M10" s="2286"/>
      <c r="N10" s="2286"/>
      <c r="O10" s="2286"/>
      <c r="P10" s="2286"/>
      <c r="Q10" s="2286"/>
      <c r="R10" s="2286"/>
      <c r="S10" s="2286"/>
      <c r="T10" s="2286"/>
      <c r="U10" s="2286"/>
      <c r="V10" s="2286"/>
      <c r="W10" s="2286"/>
      <c r="X10" s="2286"/>
      <c r="Y10" s="2286"/>
      <c r="Z10" s="2286"/>
      <c r="AA10" s="2286"/>
      <c r="AB10" s="2286"/>
      <c r="AC10" s="2286"/>
      <c r="AD10" s="2286"/>
      <c r="AE10" s="2286"/>
      <c r="AF10" s="2286"/>
      <c r="AG10" s="2286"/>
      <c r="AH10" s="2286"/>
      <c r="AI10" s="2286"/>
      <c r="AJ10" s="2286"/>
      <c r="AK10" s="2286"/>
      <c r="AL10" s="2286"/>
      <c r="AM10" s="2286"/>
      <c r="AN10" s="2286"/>
      <c r="AO10" s="2286"/>
      <c r="AP10" s="2286"/>
      <c r="AQ10" s="2286"/>
      <c r="AR10" s="2286"/>
      <c r="AS10" s="2286"/>
      <c r="AT10" s="2286"/>
      <c r="AU10" s="2286"/>
      <c r="AV10" s="2286"/>
      <c r="AW10" s="2286"/>
      <c r="AX10" s="2286"/>
      <c r="AY10" s="2286"/>
      <c r="AZ10" s="2286"/>
      <c r="BA10" s="2286"/>
      <c r="BB10" s="2286"/>
      <c r="BC10" s="2286"/>
      <c r="BD10" s="2286"/>
      <c r="BE10" s="2286"/>
      <c r="BF10" s="2286"/>
      <c r="BG10" s="2286"/>
      <c r="BH10" s="2286"/>
      <c r="BI10" s="2286"/>
      <c r="BJ10" s="2286"/>
      <c r="BK10" s="2286"/>
      <c r="BL10" s="2286"/>
      <c r="BM10" s="2286"/>
      <c r="BN10" s="2286"/>
      <c r="BO10" s="2286"/>
      <c r="BP10" s="2286"/>
      <c r="BQ10" s="2286"/>
      <c r="BR10" s="2286"/>
      <c r="BS10" s="2286"/>
      <c r="BT10" s="2286"/>
      <c r="BU10" s="2286"/>
      <c r="BV10" s="2286"/>
      <c r="BW10" s="2286"/>
      <c r="BX10" s="2286"/>
      <c r="BY10" s="2286"/>
      <c r="BZ10" s="2286"/>
      <c r="CA10" s="2286"/>
      <c r="CB10" s="2286"/>
      <c r="CC10" s="2286"/>
      <c r="CD10" s="2286"/>
      <c r="CE10" s="2286"/>
      <c r="CF10" s="2286"/>
      <c r="CG10" s="2286"/>
      <c r="CH10" s="2286"/>
      <c r="CI10" s="2216"/>
      <c r="CJ10" s="513"/>
      <c r="CV10" s="762">
        <v>11</v>
      </c>
    </row>
    <row s="1639" customFormat="1" customHeight="1" ht="24">
      <c r="A11" s="2402"/>
      <c r="B11" s="2402"/>
      <c r="C11" s="661"/>
      <c r="D11" s="707" t="s">
        <v>87</v>
      </c>
      <c r="E11" s="709" t="s">
        <v>1007</v>
      </c>
      <c r="F11" s="709" t="s">
        <v>704</v>
      </c>
      <c r="G11" s="469" t="s">
        <v>441</v>
      </c>
      <c r="H11" s="469" t="s">
        <v>528</v>
      </c>
      <c r="I11" s="811" t="s">
        <v>441</v>
      </c>
      <c r="J11" s="812" t="s">
        <v>528</v>
      </c>
      <c r="K11" s="2383" t="s">
        <v>441</v>
      </c>
      <c r="L11" s="2383" t="s">
        <v>528</v>
      </c>
      <c r="M11" s="2383" t="s">
        <v>441</v>
      </c>
      <c r="N11" s="2383" t="s">
        <v>528</v>
      </c>
      <c r="O11" s="2383" t="s">
        <v>441</v>
      </c>
      <c r="P11" s="2383" t="s">
        <v>528</v>
      </c>
      <c r="Q11" s="2383" t="s">
        <v>441</v>
      </c>
      <c r="R11" s="2383" t="s">
        <v>528</v>
      </c>
      <c r="S11" s="2383" t="s">
        <v>441</v>
      </c>
      <c r="T11" s="2383" t="s">
        <v>528</v>
      </c>
      <c r="U11" s="2383" t="s">
        <v>441</v>
      </c>
      <c r="V11" s="2383" t="s">
        <v>528</v>
      </c>
      <c r="W11" s="2383" t="s">
        <v>441</v>
      </c>
      <c r="X11" s="2383" t="s">
        <v>528</v>
      </c>
      <c r="Y11" s="2383" t="s">
        <v>441</v>
      </c>
      <c r="Z11" s="2383" t="s">
        <v>528</v>
      </c>
      <c r="AA11" s="2383" t="s">
        <v>441</v>
      </c>
      <c r="AB11" s="2383" t="s">
        <v>528</v>
      </c>
      <c r="AC11" s="2383" t="s">
        <v>441</v>
      </c>
      <c r="AD11" s="2383" t="s">
        <v>528</v>
      </c>
      <c r="AE11" s="2383" t="s">
        <v>441</v>
      </c>
      <c r="AF11" s="2383" t="s">
        <v>528</v>
      </c>
      <c r="AG11" s="2383" t="s">
        <v>441</v>
      </c>
      <c r="AH11" s="2383" t="s">
        <v>528</v>
      </c>
      <c r="AI11" s="2383" t="s">
        <v>441</v>
      </c>
      <c r="AJ11" s="2383" t="s">
        <v>528</v>
      </c>
      <c r="AK11" s="2383" t="s">
        <v>441</v>
      </c>
      <c r="AL11" s="2383" t="s">
        <v>528</v>
      </c>
      <c r="AM11" s="2383" t="s">
        <v>441</v>
      </c>
      <c r="AN11" s="2383" t="s">
        <v>528</v>
      </c>
      <c r="AO11" s="2383" t="s">
        <v>441</v>
      </c>
      <c r="AP11" s="2383" t="s">
        <v>528</v>
      </c>
      <c r="AQ11" s="2383" t="s">
        <v>441</v>
      </c>
      <c r="AR11" s="2383" t="s">
        <v>528</v>
      </c>
      <c r="AS11" s="2383" t="s">
        <v>441</v>
      </c>
      <c r="AT11" s="2383" t="s">
        <v>528</v>
      </c>
      <c r="AU11" s="2383" t="s">
        <v>441</v>
      </c>
      <c r="AV11" s="2383" t="s">
        <v>528</v>
      </c>
      <c r="AW11" s="2383" t="s">
        <v>441</v>
      </c>
      <c r="AX11" s="2383" t="s">
        <v>528</v>
      </c>
      <c r="AY11" s="2383" t="s">
        <v>441</v>
      </c>
      <c r="AZ11" s="2383" t="s">
        <v>528</v>
      </c>
      <c r="BA11" s="2383" t="s">
        <v>441</v>
      </c>
      <c r="BB11" s="2383" t="s">
        <v>528</v>
      </c>
      <c r="BC11" s="2383" t="s">
        <v>441</v>
      </c>
      <c r="BD11" s="2383" t="s">
        <v>528</v>
      </c>
      <c r="BE11" s="2383" t="s">
        <v>441</v>
      </c>
      <c r="BF11" s="2383" t="s">
        <v>528</v>
      </c>
      <c r="BG11" s="2383" t="s">
        <v>441</v>
      </c>
      <c r="BH11" s="2383" t="s">
        <v>528</v>
      </c>
      <c r="BI11" s="2383" t="s">
        <v>441</v>
      </c>
      <c r="BJ11" s="2383" t="s">
        <v>528</v>
      </c>
      <c r="BK11" s="2383" t="s">
        <v>441</v>
      </c>
      <c r="BL11" s="2383" t="s">
        <v>528</v>
      </c>
      <c r="BM11" s="2383" t="s">
        <v>441</v>
      </c>
      <c r="BN11" s="2383" t="s">
        <v>528</v>
      </c>
      <c r="BO11" s="2383" t="s">
        <v>441</v>
      </c>
      <c r="BP11" s="2383" t="s">
        <v>528</v>
      </c>
      <c r="BQ11" s="2383" t="s">
        <v>441</v>
      </c>
      <c r="BR11" s="2383" t="s">
        <v>528</v>
      </c>
      <c r="BS11" s="2383" t="s">
        <v>441</v>
      </c>
      <c r="BT11" s="2383" t="s">
        <v>528</v>
      </c>
      <c r="BU11" s="2383" t="s">
        <v>441</v>
      </c>
      <c r="BV11" s="2383" t="s">
        <v>528</v>
      </c>
      <c r="BW11" s="2383" t="s">
        <v>441</v>
      </c>
      <c r="BX11" s="2383" t="s">
        <v>528</v>
      </c>
      <c r="BY11" s="2383" t="s">
        <v>441</v>
      </c>
      <c r="BZ11" s="2383" t="s">
        <v>528</v>
      </c>
      <c r="CA11" s="2383" t="s">
        <v>441</v>
      </c>
      <c r="CB11" s="2383" t="s">
        <v>528</v>
      </c>
      <c r="CC11" s="2383" t="s">
        <v>441</v>
      </c>
      <c r="CD11" s="2383" t="s">
        <v>528</v>
      </c>
      <c r="CE11" s="2383" t="s">
        <v>441</v>
      </c>
      <c r="CF11" s="2383" t="s">
        <v>528</v>
      </c>
      <c r="CG11" s="2383" t="s">
        <v>441</v>
      </c>
      <c r="CH11" s="2383" t="s">
        <v>528</v>
      </c>
      <c r="CI11" s="2249"/>
      <c r="CJ11" s="662"/>
      <c r="CV11" s="513">
        <v>23</v>
      </c>
    </row>
    <row s="1646" customFormat="1" customHeight="1" ht="10.5">
      <c r="A12" s="956"/>
      <c r="D12" s="1029" t="s">
        <v>105</v>
      </c>
      <c r="E12" s="1029" t="s">
        <v>102</v>
      </c>
      <c r="F12" s="1029" t="s">
        <v>89</v>
      </c>
      <c r="G12" s="1030" t="str">
        <f>G1&amp;".1"</f>
        <v>4.1</v>
      </c>
      <c r="H12" s="1030" t="str">
        <f>G1&amp;".2"</f>
        <v>4.2</v>
      </c>
      <c r="I12" s="1030" t="str">
        <f>I1&amp;".1"</f>
        <v>4.1</v>
      </c>
      <c r="J12" s="1030" t="str">
        <f>I1&amp;".2"</f>
        <v>4.2</v>
      </c>
      <c r="K12" s="2391" t="str">
        <f>K1&amp;".1"</f>
        <v>4.1</v>
      </c>
      <c r="L12" s="2391" t="str">
        <f>K1&amp;".2"</f>
        <v>4.2</v>
      </c>
      <c r="M12" s="2391" t="str">
        <f>M1&amp;".1"</f>
        <v>4.1</v>
      </c>
      <c r="N12" s="2391" t="str">
        <f>M1&amp;".2"</f>
        <v>4.2</v>
      </c>
      <c r="O12" s="2391" t="str">
        <f>O1&amp;".1"</f>
        <v>4.1</v>
      </c>
      <c r="P12" s="2391" t="str">
        <f>O1&amp;".2"</f>
        <v>4.2</v>
      </c>
      <c r="Q12" s="2391" t="str">
        <f>Q1&amp;".1"</f>
        <v>4.1</v>
      </c>
      <c r="R12" s="2391" t="str">
        <f>Q1&amp;".2"</f>
        <v>4.2</v>
      </c>
      <c r="S12" s="2391" t="str">
        <f>S1&amp;".1"</f>
        <v>4.1</v>
      </c>
      <c r="T12" s="2391" t="str">
        <f>S1&amp;".2"</f>
        <v>4.2</v>
      </c>
      <c r="U12" s="2391" t="str">
        <f>U1&amp;".1"</f>
        <v>4.1</v>
      </c>
      <c r="V12" s="2391" t="str">
        <f>U1&amp;".2"</f>
        <v>4.2</v>
      </c>
      <c r="W12" s="2391" t="str">
        <f>W1&amp;".1"</f>
        <v>4.1</v>
      </c>
      <c r="X12" s="2391" t="str">
        <f>W1&amp;".2"</f>
        <v>4.2</v>
      </c>
      <c r="Y12" s="2391" t="str">
        <f>Y1&amp;".1"</f>
        <v>4.1</v>
      </c>
      <c r="Z12" s="2391" t="str">
        <f>Y1&amp;".2"</f>
        <v>4.2</v>
      </c>
      <c r="AA12" s="2391" t="str">
        <f>AA1&amp;".1"</f>
        <v>4.1</v>
      </c>
      <c r="AB12" s="2391" t="str">
        <f>AA1&amp;".2"</f>
        <v>4.2</v>
      </c>
      <c r="AC12" s="2391" t="str">
        <f>AC1&amp;".1"</f>
        <v>4.1</v>
      </c>
      <c r="AD12" s="2391" t="str">
        <f>AC1&amp;".2"</f>
        <v>4.2</v>
      </c>
      <c r="AE12" s="2391" t="str">
        <f>AE1&amp;".1"</f>
        <v>4.1</v>
      </c>
      <c r="AF12" s="2391" t="str">
        <f>AE1&amp;".2"</f>
        <v>4.2</v>
      </c>
      <c r="AG12" s="2391" t="str">
        <f>AG1&amp;".1"</f>
        <v>4.1</v>
      </c>
      <c r="AH12" s="2391" t="str">
        <f>AG1&amp;".2"</f>
        <v>4.2</v>
      </c>
      <c r="AI12" s="2391" t="str">
        <f>AI1&amp;".1"</f>
        <v>4.1</v>
      </c>
      <c r="AJ12" s="2391" t="str">
        <f>AI1&amp;".2"</f>
        <v>4.2</v>
      </c>
      <c r="AK12" s="2391" t="str">
        <f>AK1&amp;".1"</f>
        <v>4.1</v>
      </c>
      <c r="AL12" s="2391" t="str">
        <f>AK1&amp;".2"</f>
        <v>4.2</v>
      </c>
      <c r="AM12" s="2391" t="str">
        <f>AM1&amp;".1"</f>
        <v>4.1</v>
      </c>
      <c r="AN12" s="2391" t="str">
        <f>AM1&amp;".2"</f>
        <v>4.2</v>
      </c>
      <c r="AO12" s="2391" t="str">
        <f>AO1&amp;".1"</f>
        <v>4.1</v>
      </c>
      <c r="AP12" s="2391" t="str">
        <f>AO1&amp;".2"</f>
        <v>4.2</v>
      </c>
      <c r="AQ12" s="2391" t="str">
        <f>AQ1&amp;".1"</f>
        <v>4.1</v>
      </c>
      <c r="AR12" s="2391" t="str">
        <f>AQ1&amp;".2"</f>
        <v>4.2</v>
      </c>
      <c r="AS12" s="2391" t="str">
        <f>AS1&amp;".1"</f>
        <v>4.1</v>
      </c>
      <c r="AT12" s="2391" t="str">
        <f>AS1&amp;".2"</f>
        <v>4.2</v>
      </c>
      <c r="AU12" s="2391" t="str">
        <f>AU1&amp;".1"</f>
        <v>4.1</v>
      </c>
      <c r="AV12" s="2391" t="str">
        <f>AU1&amp;".2"</f>
        <v>4.2</v>
      </c>
      <c r="AW12" s="2391" t="str">
        <f>AW1&amp;".1"</f>
        <v>4.1</v>
      </c>
      <c r="AX12" s="2391" t="str">
        <f>AW1&amp;".2"</f>
        <v>4.2</v>
      </c>
      <c r="AY12" s="2391" t="str">
        <f>AY1&amp;".1"</f>
        <v>4.1</v>
      </c>
      <c r="AZ12" s="2391" t="str">
        <f>AY1&amp;".2"</f>
        <v>4.2</v>
      </c>
      <c r="BA12" s="2391" t="str">
        <f>BA1&amp;".1"</f>
        <v>4.1</v>
      </c>
      <c r="BB12" s="2391" t="str">
        <f>BA1&amp;".2"</f>
        <v>4.2</v>
      </c>
      <c r="BC12" s="2391" t="str">
        <f>BC1&amp;".1"</f>
        <v>4.1</v>
      </c>
      <c r="BD12" s="2391" t="str">
        <f>BC1&amp;".2"</f>
        <v>4.2</v>
      </c>
      <c r="BE12" s="2391" t="str">
        <f>BE1&amp;".1"</f>
        <v>4.1</v>
      </c>
      <c r="BF12" s="2391" t="str">
        <f>BE1&amp;".2"</f>
        <v>4.2</v>
      </c>
      <c r="BG12" s="2391" t="str">
        <f>BG1&amp;".1"</f>
        <v>4.1</v>
      </c>
      <c r="BH12" s="2391" t="str">
        <f>BG1&amp;".2"</f>
        <v>4.2</v>
      </c>
      <c r="BI12" s="2391" t="str">
        <f>BI1&amp;".1"</f>
        <v>4.1</v>
      </c>
      <c r="BJ12" s="2391" t="str">
        <f>BI1&amp;".2"</f>
        <v>4.2</v>
      </c>
      <c r="BK12" s="2391" t="str">
        <f>BK1&amp;".1"</f>
        <v>4.1</v>
      </c>
      <c r="BL12" s="2391" t="str">
        <f>BK1&amp;".2"</f>
        <v>4.2</v>
      </c>
      <c r="BM12" s="2391" t="str">
        <f>BM1&amp;".1"</f>
        <v>4.1</v>
      </c>
      <c r="BN12" s="2391" t="str">
        <f>BM1&amp;".2"</f>
        <v>4.2</v>
      </c>
      <c r="BO12" s="2391" t="str">
        <f>BO1&amp;".1"</f>
        <v>4.1</v>
      </c>
      <c r="BP12" s="2391" t="str">
        <f>BO1&amp;".2"</f>
        <v>4.2</v>
      </c>
      <c r="BQ12" s="2391" t="str">
        <f>BQ1&amp;".1"</f>
        <v>4.1</v>
      </c>
      <c r="BR12" s="2391" t="str">
        <f>BQ1&amp;".2"</f>
        <v>4.2</v>
      </c>
      <c r="BS12" s="2391" t="str">
        <f>BS1&amp;".1"</f>
        <v>3.1</v>
      </c>
      <c r="BT12" s="2391" t="str">
        <f>BS1&amp;".2"</f>
        <v>3.2</v>
      </c>
      <c r="BU12" s="2391" t="str">
        <f>BU1&amp;".1"</f>
        <v>4.1</v>
      </c>
      <c r="BV12" s="2391" t="str">
        <f>BU1&amp;".2"</f>
        <v>4.2</v>
      </c>
      <c r="BW12" s="2391" t="str">
        <f>BW1&amp;".1"</f>
        <v>3.1</v>
      </c>
      <c r="BX12" s="2391" t="str">
        <f>BW1&amp;".2"</f>
        <v>3.2</v>
      </c>
      <c r="BY12" s="2391" t="str">
        <f>BY1&amp;".1"</f>
        <v>3.1</v>
      </c>
      <c r="BZ12" s="2391" t="str">
        <f>BY1&amp;".2"</f>
        <v>3.2</v>
      </c>
      <c r="CA12" s="2391" t="str">
        <f>CA1&amp;".1"</f>
        <v>4.1</v>
      </c>
      <c r="CB12" s="2391" t="str">
        <f>CA1&amp;".2"</f>
        <v>4.2</v>
      </c>
      <c r="CC12" s="2391" t="str">
        <f>CC1&amp;".1"</f>
        <v>4.1</v>
      </c>
      <c r="CD12" s="2391" t="str">
        <f>CC1&amp;".2"</f>
        <v>4.2</v>
      </c>
      <c r="CE12" s="2391" t="str">
        <f>CE1&amp;".1"</f>
        <v>4.1</v>
      </c>
      <c r="CF12" s="2391" t="str">
        <f>CE1&amp;".2"</f>
        <v>4.2</v>
      </c>
      <c r="CG12" s="2391" t="str">
        <f>CG1&amp;".1"</f>
        <v>4.1</v>
      </c>
      <c r="CH12" s="2391" t="str">
        <f>CG1&amp;".2"</f>
        <v>4.2</v>
      </c>
      <c r="CI12" s="1030"/>
      <c r="CV12" s="515">
        <v>10</v>
      </c>
    </row>
    <row customHeight="1" ht="22.5" hidden="1">
      <c r="A13" s="2409" t="s">
        <v>1008</v>
      </c>
      <c r="D13" s="957" t="s">
        <v>105</v>
      </c>
      <c r="E13" s="283" t="s">
        <v>1009</v>
      </c>
      <c r="F13" s="664" t="s">
        <v>1010</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561"/>
      <c r="AN13" s="666"/>
      <c r="AO13" s="561"/>
      <c r="AP13" s="666"/>
      <c r="AQ13" s="561"/>
      <c r="AR13" s="666"/>
      <c r="AS13" s="561"/>
      <c r="AT13" s="666"/>
      <c r="AU13" s="561"/>
      <c r="AV13" s="666"/>
      <c r="AW13" s="561"/>
      <c r="AX13" s="666"/>
      <c r="AY13" s="561"/>
      <c r="AZ13" s="666"/>
      <c r="BA13" s="561"/>
      <c r="BB13" s="666"/>
      <c r="BC13" s="561"/>
      <c r="BD13" s="666"/>
      <c r="BE13" s="561"/>
      <c r="BF13" s="666"/>
      <c r="BG13" s="561"/>
      <c r="BH13" s="666"/>
      <c r="BI13" s="561"/>
      <c r="BJ13" s="666"/>
      <c r="BK13" s="561"/>
      <c r="BL13" s="666"/>
      <c r="BM13" s="561"/>
      <c r="BN13" s="666"/>
      <c r="BO13" s="561"/>
      <c r="BP13" s="666"/>
      <c r="BQ13" s="561"/>
      <c r="BR13" s="666"/>
      <c r="BS13" s="561"/>
      <c r="BT13" s="666"/>
      <c r="BU13" s="561"/>
      <c r="BV13" s="666"/>
      <c r="BW13" s="561"/>
      <c r="BX13" s="666"/>
      <c r="BY13" s="561"/>
      <c r="BZ13" s="666"/>
      <c r="CA13" s="561"/>
      <c r="CB13" s="666"/>
      <c r="CC13" s="561"/>
      <c r="CD13" s="666"/>
      <c r="CE13" s="561"/>
      <c r="CF13" s="666"/>
      <c r="CG13" s="561"/>
      <c r="CH13" s="666"/>
      <c r="CI13" s="293" t="s">
        <v>1011</v>
      </c>
      <c r="CJ13" s="724"/>
      <c r="CV13" s="509">
        <v>0</v>
      </c>
    </row>
    <row customHeight="1" ht="22.5" hidden="1">
      <c r="A14" s="2409"/>
      <c r="D14" s="543" t="s">
        <v>102</v>
      </c>
      <c r="E14" s="283" t="s">
        <v>1012</v>
      </c>
      <c r="F14" s="664" t="s">
        <v>1013</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561"/>
      <c r="AN14" s="666"/>
      <c r="AO14" s="561"/>
      <c r="AP14" s="666"/>
      <c r="AQ14" s="561"/>
      <c r="AR14" s="666"/>
      <c r="AS14" s="561"/>
      <c r="AT14" s="666"/>
      <c r="AU14" s="561"/>
      <c r="AV14" s="666"/>
      <c r="AW14" s="561"/>
      <c r="AX14" s="666"/>
      <c r="AY14" s="561"/>
      <c r="AZ14" s="666"/>
      <c r="BA14" s="561"/>
      <c r="BB14" s="666"/>
      <c r="BC14" s="561"/>
      <c r="BD14" s="666"/>
      <c r="BE14" s="561"/>
      <c r="BF14" s="666"/>
      <c r="BG14" s="561"/>
      <c r="BH14" s="666"/>
      <c r="BI14" s="561"/>
      <c r="BJ14" s="666"/>
      <c r="BK14" s="561"/>
      <c r="BL14" s="666"/>
      <c r="BM14" s="561"/>
      <c r="BN14" s="666"/>
      <c r="BO14" s="561"/>
      <c r="BP14" s="666"/>
      <c r="BQ14" s="561"/>
      <c r="BR14" s="666"/>
      <c r="BS14" s="561"/>
      <c r="BT14" s="666"/>
      <c r="BU14" s="561"/>
      <c r="BV14" s="666"/>
      <c r="BW14" s="561"/>
      <c r="BX14" s="666"/>
      <c r="BY14" s="561"/>
      <c r="BZ14" s="666"/>
      <c r="CA14" s="561"/>
      <c r="CB14" s="666"/>
      <c r="CC14" s="561"/>
      <c r="CD14" s="666"/>
      <c r="CE14" s="561"/>
      <c r="CF14" s="666"/>
      <c r="CG14" s="561"/>
      <c r="CH14" s="666"/>
      <c r="CI14" s="293" t="s">
        <v>1014</v>
      </c>
      <c r="CJ14" s="724"/>
      <c r="CV14" s="509">
        <v>0</v>
      </c>
    </row>
    <row s="1639" customFormat="1" customHeight="1" ht="78.75" hidden="1">
      <c r="A15" s="2409"/>
      <c r="B15" s="515"/>
      <c r="D15" s="957" t="s">
        <v>89</v>
      </c>
      <c r="E15" s="711" t="s">
        <v>1015</v>
      </c>
      <c r="F15" s="954" t="s">
        <v>444</v>
      </c>
      <c r="G15" s="954" t="s">
        <v>444</v>
      </c>
      <c r="H15" s="110"/>
      <c r="I15" s="954" t="s">
        <v>444</v>
      </c>
      <c r="J15" s="110"/>
      <c r="K15" s="2383" t="s">
        <v>444</v>
      </c>
      <c r="L15" s="2518"/>
      <c r="M15" s="2383" t="s">
        <v>444</v>
      </c>
      <c r="N15" s="2518"/>
      <c r="O15" s="2383" t="s">
        <v>444</v>
      </c>
      <c r="P15" s="2518"/>
      <c r="Q15" s="2383" t="s">
        <v>444</v>
      </c>
      <c r="R15" s="2518"/>
      <c r="S15" s="2383" t="s">
        <v>444</v>
      </c>
      <c r="T15" s="2518"/>
      <c r="U15" s="2383" t="s">
        <v>444</v>
      </c>
      <c r="V15" s="2518"/>
      <c r="W15" s="2383" t="s">
        <v>444</v>
      </c>
      <c r="X15" s="2518"/>
      <c r="Y15" s="2383" t="s">
        <v>444</v>
      </c>
      <c r="Z15" s="2518"/>
      <c r="AA15" s="2383" t="s">
        <v>444</v>
      </c>
      <c r="AB15" s="2518"/>
      <c r="AC15" s="2383" t="s">
        <v>444</v>
      </c>
      <c r="AD15" s="2518"/>
      <c r="AE15" s="2383" t="s">
        <v>444</v>
      </c>
      <c r="AF15" s="2518"/>
      <c r="AG15" s="2383" t="s">
        <v>444</v>
      </c>
      <c r="AH15" s="2518"/>
      <c r="AI15" s="2383" t="s">
        <v>444</v>
      </c>
      <c r="AJ15" s="2518"/>
      <c r="AK15" s="2383" t="s">
        <v>444</v>
      </c>
      <c r="AL15" s="2518"/>
      <c r="AM15" s="2383" t="s">
        <v>444</v>
      </c>
      <c r="AN15" s="2518"/>
      <c r="AO15" s="2383" t="s">
        <v>444</v>
      </c>
      <c r="AP15" s="2518"/>
      <c r="AQ15" s="2383" t="s">
        <v>444</v>
      </c>
      <c r="AR15" s="2518"/>
      <c r="AS15" s="2383" t="s">
        <v>444</v>
      </c>
      <c r="AT15" s="2518"/>
      <c r="AU15" s="2383" t="s">
        <v>444</v>
      </c>
      <c r="AV15" s="2518"/>
      <c r="AW15" s="2383" t="s">
        <v>444</v>
      </c>
      <c r="AX15" s="2518"/>
      <c r="AY15" s="2383" t="s">
        <v>444</v>
      </c>
      <c r="AZ15" s="2518"/>
      <c r="BA15" s="2383" t="s">
        <v>444</v>
      </c>
      <c r="BB15" s="2518"/>
      <c r="BC15" s="2383" t="s">
        <v>444</v>
      </c>
      <c r="BD15" s="2518"/>
      <c r="BE15" s="2383" t="s">
        <v>444</v>
      </c>
      <c r="BF15" s="2518"/>
      <c r="BG15" s="2383" t="s">
        <v>444</v>
      </c>
      <c r="BH15" s="2518"/>
      <c r="BI15" s="2383" t="s">
        <v>444</v>
      </c>
      <c r="BJ15" s="2518"/>
      <c r="BK15" s="2383" t="s">
        <v>444</v>
      </c>
      <c r="BL15" s="2518"/>
      <c r="BM15" s="2383" t="s">
        <v>444</v>
      </c>
      <c r="BN15" s="2518"/>
      <c r="BO15" s="2383" t="s">
        <v>444</v>
      </c>
      <c r="BP15" s="2518"/>
      <c r="BQ15" s="2383" t="s">
        <v>444</v>
      </c>
      <c r="BR15" s="2518"/>
      <c r="BS15" s="2383" t="s">
        <v>444</v>
      </c>
      <c r="BT15" s="2518"/>
      <c r="BU15" s="2383" t="s">
        <v>444</v>
      </c>
      <c r="BV15" s="2518"/>
      <c r="BW15" s="2383" t="s">
        <v>444</v>
      </c>
      <c r="BX15" s="2518"/>
      <c r="BY15" s="2383" t="s">
        <v>444</v>
      </c>
      <c r="BZ15" s="2518"/>
      <c r="CA15" s="2383" t="s">
        <v>444</v>
      </c>
      <c r="CB15" s="2518"/>
      <c r="CC15" s="2383" t="s">
        <v>444</v>
      </c>
      <c r="CD15" s="2518"/>
      <c r="CE15" s="2383" t="s">
        <v>444</v>
      </c>
      <c r="CF15" s="2518"/>
      <c r="CG15" s="2383" t="s">
        <v>444</v>
      </c>
      <c r="CH15" s="2518"/>
      <c r="CI15" s="293" t="s">
        <v>1016</v>
      </c>
      <c r="CJ15" s="724"/>
      <c r="CV15" s="762">
        <v>0</v>
      </c>
    </row>
    <row s="1639" customFormat="1" customHeight="1" ht="22.5" hidden="1">
      <c r="A16" s="2409"/>
      <c r="B16" s="515"/>
      <c r="D16" s="957" t="s">
        <v>462</v>
      </c>
      <c r="E16" s="958" t="s">
        <v>1017</v>
      </c>
      <c r="F16" s="954" t="s">
        <v>1018</v>
      </c>
      <c r="G16" s="821"/>
      <c r="H16" s="110"/>
      <c r="I16" s="821"/>
      <c r="J16" s="110"/>
      <c r="K16" s="821"/>
      <c r="L16" s="2518"/>
      <c r="M16" s="821"/>
      <c r="N16" s="2518"/>
      <c r="O16" s="821"/>
      <c r="P16" s="2518"/>
      <c r="Q16" s="821"/>
      <c r="R16" s="2518"/>
      <c r="S16" s="821"/>
      <c r="T16" s="2518"/>
      <c r="U16" s="821"/>
      <c r="V16" s="2518"/>
      <c r="W16" s="821"/>
      <c r="X16" s="2518"/>
      <c r="Y16" s="821"/>
      <c r="Z16" s="2518"/>
      <c r="AA16" s="821"/>
      <c r="AB16" s="2518"/>
      <c r="AC16" s="821"/>
      <c r="AD16" s="2518"/>
      <c r="AE16" s="821"/>
      <c r="AF16" s="2518"/>
      <c r="AG16" s="821"/>
      <c r="AH16" s="2518"/>
      <c r="AI16" s="821"/>
      <c r="AJ16" s="2518"/>
      <c r="AK16" s="821"/>
      <c r="AL16" s="2518"/>
      <c r="AM16" s="821"/>
      <c r="AN16" s="2518"/>
      <c r="AO16" s="821"/>
      <c r="AP16" s="2518"/>
      <c r="AQ16" s="821"/>
      <c r="AR16" s="2518"/>
      <c r="AS16" s="821"/>
      <c r="AT16" s="2518"/>
      <c r="AU16" s="821"/>
      <c r="AV16" s="2518"/>
      <c r="AW16" s="821"/>
      <c r="AX16" s="2518"/>
      <c r="AY16" s="821"/>
      <c r="AZ16" s="2518"/>
      <c r="BA16" s="821"/>
      <c r="BB16" s="2518"/>
      <c r="BC16" s="821"/>
      <c r="BD16" s="2518"/>
      <c r="BE16" s="821"/>
      <c r="BF16" s="2518"/>
      <c r="BG16" s="821"/>
      <c r="BH16" s="2518"/>
      <c r="BI16" s="821"/>
      <c r="BJ16" s="2518"/>
      <c r="BK16" s="821"/>
      <c r="BL16" s="2518"/>
      <c r="BM16" s="821"/>
      <c r="BN16" s="2518"/>
      <c r="BO16" s="821"/>
      <c r="BP16" s="2518"/>
      <c r="BQ16" s="821"/>
      <c r="BR16" s="2518"/>
      <c r="BS16" s="821"/>
      <c r="BT16" s="2518"/>
      <c r="BU16" s="821"/>
      <c r="BV16" s="2518"/>
      <c r="BW16" s="821"/>
      <c r="BX16" s="2518"/>
      <c r="BY16" s="821"/>
      <c r="BZ16" s="2518"/>
      <c r="CA16" s="821"/>
      <c r="CB16" s="2518"/>
      <c r="CC16" s="821"/>
      <c r="CD16" s="2518"/>
      <c r="CE16" s="821"/>
      <c r="CF16" s="2518"/>
      <c r="CG16" s="821"/>
      <c r="CH16" s="2518"/>
      <c r="CI16" s="293"/>
      <c r="CJ16" s="724"/>
      <c r="CV16" s="762">
        <v>0</v>
      </c>
    </row>
    <row s="1639" customFormat="1" customHeight="1" ht="22.5" hidden="1">
      <c r="A17" s="2409"/>
      <c r="B17" s="515"/>
      <c r="D17" s="957" t="s">
        <v>470</v>
      </c>
      <c r="E17" s="958" t="s">
        <v>1019</v>
      </c>
      <c r="F17" s="954" t="s">
        <v>1020</v>
      </c>
      <c r="G17" s="821"/>
      <c r="H17" s="110"/>
      <c r="I17" s="821"/>
      <c r="J17" s="110"/>
      <c r="K17" s="821"/>
      <c r="L17" s="2518"/>
      <c r="M17" s="821"/>
      <c r="N17" s="2518"/>
      <c r="O17" s="821"/>
      <c r="P17" s="2518"/>
      <c r="Q17" s="821"/>
      <c r="R17" s="2518"/>
      <c r="S17" s="821"/>
      <c r="T17" s="2518"/>
      <c r="U17" s="821"/>
      <c r="V17" s="2518"/>
      <c r="W17" s="821"/>
      <c r="X17" s="2518"/>
      <c r="Y17" s="821"/>
      <c r="Z17" s="2518"/>
      <c r="AA17" s="821"/>
      <c r="AB17" s="2518"/>
      <c r="AC17" s="821"/>
      <c r="AD17" s="2518"/>
      <c r="AE17" s="821"/>
      <c r="AF17" s="2518"/>
      <c r="AG17" s="821"/>
      <c r="AH17" s="2518"/>
      <c r="AI17" s="821"/>
      <c r="AJ17" s="2518"/>
      <c r="AK17" s="821"/>
      <c r="AL17" s="2518"/>
      <c r="AM17" s="821"/>
      <c r="AN17" s="2518"/>
      <c r="AO17" s="821"/>
      <c r="AP17" s="2518"/>
      <c r="AQ17" s="821"/>
      <c r="AR17" s="2518"/>
      <c r="AS17" s="821"/>
      <c r="AT17" s="2518"/>
      <c r="AU17" s="821"/>
      <c r="AV17" s="2518"/>
      <c r="AW17" s="821"/>
      <c r="AX17" s="2518"/>
      <c r="AY17" s="821"/>
      <c r="AZ17" s="2518"/>
      <c r="BA17" s="821"/>
      <c r="BB17" s="2518"/>
      <c r="BC17" s="821"/>
      <c r="BD17" s="2518"/>
      <c r="BE17" s="821"/>
      <c r="BF17" s="2518"/>
      <c r="BG17" s="821"/>
      <c r="BH17" s="2518"/>
      <c r="BI17" s="821"/>
      <c r="BJ17" s="2518"/>
      <c r="BK17" s="821"/>
      <c r="BL17" s="2518"/>
      <c r="BM17" s="821"/>
      <c r="BN17" s="2518"/>
      <c r="BO17" s="821"/>
      <c r="BP17" s="2518"/>
      <c r="BQ17" s="821"/>
      <c r="BR17" s="2518"/>
      <c r="BS17" s="821"/>
      <c r="BT17" s="2518"/>
      <c r="BU17" s="821"/>
      <c r="BV17" s="2518"/>
      <c r="BW17" s="821"/>
      <c r="BX17" s="2518"/>
      <c r="BY17" s="821"/>
      <c r="BZ17" s="2518"/>
      <c r="CA17" s="821"/>
      <c r="CB17" s="2518"/>
      <c r="CC17" s="821"/>
      <c r="CD17" s="2518"/>
      <c r="CE17" s="821"/>
      <c r="CF17" s="2518"/>
      <c r="CG17" s="821"/>
      <c r="CH17" s="2518"/>
      <c r="CI17" s="293"/>
      <c r="CJ17" s="724"/>
      <c r="CV17" s="762">
        <v>0</v>
      </c>
    </row>
    <row s="1639" customFormat="1" customHeight="1" ht="33.75" hidden="1">
      <c r="A18" s="2409"/>
      <c r="B18" s="515"/>
      <c r="D18" s="957" t="s">
        <v>472</v>
      </c>
      <c r="E18" s="958" t="s">
        <v>1021</v>
      </c>
      <c r="F18" s="954" t="s">
        <v>709</v>
      </c>
      <c r="G18" s="684"/>
      <c r="H18" s="110"/>
      <c r="I18" s="684"/>
      <c r="J18" s="110"/>
      <c r="K18" s="684"/>
      <c r="L18" s="2518"/>
      <c r="M18" s="684"/>
      <c r="N18" s="2518"/>
      <c r="O18" s="684"/>
      <c r="P18" s="2518"/>
      <c r="Q18" s="684"/>
      <c r="R18" s="2518"/>
      <c r="S18" s="684"/>
      <c r="T18" s="2518"/>
      <c r="U18" s="684"/>
      <c r="V18" s="2518"/>
      <c r="W18" s="684"/>
      <c r="X18" s="2518"/>
      <c r="Y18" s="684"/>
      <c r="Z18" s="2518"/>
      <c r="AA18" s="684"/>
      <c r="AB18" s="2518"/>
      <c r="AC18" s="684"/>
      <c r="AD18" s="2518"/>
      <c r="AE18" s="684"/>
      <c r="AF18" s="2518"/>
      <c r="AG18" s="684"/>
      <c r="AH18" s="2518"/>
      <c r="AI18" s="684"/>
      <c r="AJ18" s="2518"/>
      <c r="AK18" s="684"/>
      <c r="AL18" s="2518"/>
      <c r="AM18" s="684"/>
      <c r="AN18" s="2518"/>
      <c r="AO18" s="684"/>
      <c r="AP18" s="2518"/>
      <c r="AQ18" s="684"/>
      <c r="AR18" s="2518"/>
      <c r="AS18" s="684"/>
      <c r="AT18" s="2518"/>
      <c r="AU18" s="684"/>
      <c r="AV18" s="2518"/>
      <c r="AW18" s="684"/>
      <c r="AX18" s="2518"/>
      <c r="AY18" s="684"/>
      <c r="AZ18" s="2518"/>
      <c r="BA18" s="684"/>
      <c r="BB18" s="2518"/>
      <c r="BC18" s="684"/>
      <c r="BD18" s="2518"/>
      <c r="BE18" s="684"/>
      <c r="BF18" s="2518"/>
      <c r="BG18" s="684"/>
      <c r="BH18" s="2518"/>
      <c r="BI18" s="684"/>
      <c r="BJ18" s="2518"/>
      <c r="BK18" s="684"/>
      <c r="BL18" s="2518"/>
      <c r="BM18" s="684"/>
      <c r="BN18" s="2518"/>
      <c r="BO18" s="684"/>
      <c r="BP18" s="2518"/>
      <c r="BQ18" s="684"/>
      <c r="BR18" s="2518"/>
      <c r="BS18" s="684"/>
      <c r="BT18" s="2518"/>
      <c r="BU18" s="684"/>
      <c r="BV18" s="2518"/>
      <c r="BW18" s="684"/>
      <c r="BX18" s="2518"/>
      <c r="BY18" s="684"/>
      <c r="BZ18" s="2518"/>
      <c r="CA18" s="684"/>
      <c r="CB18" s="2518"/>
      <c r="CC18" s="684"/>
      <c r="CD18" s="2518"/>
      <c r="CE18" s="684"/>
      <c r="CF18" s="2518"/>
      <c r="CG18" s="684"/>
      <c r="CH18" s="2518"/>
      <c r="CI18" s="293"/>
      <c r="CJ18" s="724"/>
      <c r="CV18" s="762">
        <v>0</v>
      </c>
    </row>
    <row customHeight="1" ht="101.25" hidden="1">
      <c r="A19" s="2409"/>
      <c r="D19" s="957" t="s">
        <v>90</v>
      </c>
      <c r="E19" s="283" t="s">
        <v>1022</v>
      </c>
      <c r="F19" s="664" t="s">
        <v>684</v>
      </c>
      <c r="G19" s="667"/>
      <c r="H19" s="666"/>
      <c r="I19" s="959"/>
      <c r="J19" s="666"/>
      <c r="K19" s="2534"/>
      <c r="L19" s="666"/>
      <c r="M19" s="2534"/>
      <c r="N19" s="666"/>
      <c r="O19" s="2534"/>
      <c r="P19" s="666"/>
      <c r="Q19" s="2534"/>
      <c r="R19" s="666"/>
      <c r="S19" s="2534"/>
      <c r="T19" s="666"/>
      <c r="U19" s="2534"/>
      <c r="V19" s="666"/>
      <c r="W19" s="2534"/>
      <c r="X19" s="666"/>
      <c r="Y19" s="2534"/>
      <c r="Z19" s="666"/>
      <c r="AA19" s="2534"/>
      <c r="AB19" s="666"/>
      <c r="AC19" s="2534"/>
      <c r="AD19" s="666"/>
      <c r="AE19" s="2534"/>
      <c r="AF19" s="666"/>
      <c r="AG19" s="2534"/>
      <c r="AH19" s="666"/>
      <c r="AI19" s="2534"/>
      <c r="AJ19" s="666"/>
      <c r="AK19" s="2534"/>
      <c r="AL19" s="666"/>
      <c r="AM19" s="2534"/>
      <c r="AN19" s="666"/>
      <c r="AO19" s="2534"/>
      <c r="AP19" s="666"/>
      <c r="AQ19" s="2534"/>
      <c r="AR19" s="666"/>
      <c r="AS19" s="2534"/>
      <c r="AT19" s="666"/>
      <c r="AU19" s="2534"/>
      <c r="AV19" s="666"/>
      <c r="AW19" s="2534"/>
      <c r="AX19" s="666"/>
      <c r="AY19" s="2534"/>
      <c r="AZ19" s="666"/>
      <c r="BA19" s="2534"/>
      <c r="BB19" s="666"/>
      <c r="BC19" s="2534"/>
      <c r="BD19" s="666"/>
      <c r="BE19" s="2534"/>
      <c r="BF19" s="666"/>
      <c r="BG19" s="2534"/>
      <c r="BH19" s="666"/>
      <c r="BI19" s="2534"/>
      <c r="BJ19" s="666"/>
      <c r="BK19" s="2534"/>
      <c r="BL19" s="666"/>
      <c r="BM19" s="2534"/>
      <c r="BN19" s="666"/>
      <c r="BO19" s="2534"/>
      <c r="BP19" s="666"/>
      <c r="BQ19" s="2534"/>
      <c r="BR19" s="666"/>
      <c r="BS19" s="2534"/>
      <c r="BT19" s="666"/>
      <c r="BU19" s="2534"/>
      <c r="BV19" s="666"/>
      <c r="BW19" s="2534"/>
      <c r="BX19" s="666"/>
      <c r="BY19" s="2534"/>
      <c r="BZ19" s="666"/>
      <c r="CA19" s="2534"/>
      <c r="CB19" s="666"/>
      <c r="CC19" s="2534"/>
      <c r="CD19" s="666"/>
      <c r="CE19" s="2534"/>
      <c r="CF19" s="666"/>
      <c r="CG19" s="2534"/>
      <c r="CH19" s="666"/>
      <c r="CI19" s="293" t="s">
        <v>1023</v>
      </c>
      <c r="CJ19" s="724"/>
      <c r="CV19" s="509">
        <v>0</v>
      </c>
    </row>
    <row s="1639" customFormat="1" customHeight="1" ht="18.75" hidden="1">
      <c r="A20" s="2409"/>
      <c r="C20" s="960"/>
      <c r="D20" s="957" t="s">
        <v>942</v>
      </c>
      <c r="E20" s="958" t="s">
        <v>1024</v>
      </c>
      <c r="F20" s="954" t="s">
        <v>444</v>
      </c>
      <c r="G20" s="954" t="s">
        <v>444</v>
      </c>
      <c r="H20" s="953" t="s">
        <v>444</v>
      </c>
      <c r="I20" s="954" t="s">
        <v>444</v>
      </c>
      <c r="J20" s="953" t="s">
        <v>444</v>
      </c>
      <c r="K20" s="2383" t="s">
        <v>444</v>
      </c>
      <c r="L20" s="2277" t="s">
        <v>444</v>
      </c>
      <c r="M20" s="2383" t="s">
        <v>444</v>
      </c>
      <c r="N20" s="2277" t="s">
        <v>444</v>
      </c>
      <c r="O20" s="2383" t="s">
        <v>444</v>
      </c>
      <c r="P20" s="2277" t="s">
        <v>444</v>
      </c>
      <c r="Q20" s="2383" t="s">
        <v>444</v>
      </c>
      <c r="R20" s="2277" t="s">
        <v>444</v>
      </c>
      <c r="S20" s="2383" t="s">
        <v>444</v>
      </c>
      <c r="T20" s="2277" t="s">
        <v>444</v>
      </c>
      <c r="U20" s="2383" t="s">
        <v>444</v>
      </c>
      <c r="V20" s="2277" t="s">
        <v>444</v>
      </c>
      <c r="W20" s="2383" t="s">
        <v>444</v>
      </c>
      <c r="X20" s="2277" t="s">
        <v>444</v>
      </c>
      <c r="Y20" s="2383" t="s">
        <v>444</v>
      </c>
      <c r="Z20" s="2277" t="s">
        <v>444</v>
      </c>
      <c r="AA20" s="2383" t="s">
        <v>444</v>
      </c>
      <c r="AB20" s="2277" t="s">
        <v>444</v>
      </c>
      <c r="AC20" s="2383" t="s">
        <v>444</v>
      </c>
      <c r="AD20" s="2277" t="s">
        <v>444</v>
      </c>
      <c r="AE20" s="2383" t="s">
        <v>444</v>
      </c>
      <c r="AF20" s="2277" t="s">
        <v>444</v>
      </c>
      <c r="AG20" s="2383" t="s">
        <v>444</v>
      </c>
      <c r="AH20" s="2277" t="s">
        <v>444</v>
      </c>
      <c r="AI20" s="2383" t="s">
        <v>444</v>
      </c>
      <c r="AJ20" s="2277" t="s">
        <v>444</v>
      </c>
      <c r="AK20" s="2383" t="s">
        <v>444</v>
      </c>
      <c r="AL20" s="2277" t="s">
        <v>444</v>
      </c>
      <c r="AM20" s="2383" t="s">
        <v>444</v>
      </c>
      <c r="AN20" s="2277" t="s">
        <v>444</v>
      </c>
      <c r="AO20" s="2383" t="s">
        <v>444</v>
      </c>
      <c r="AP20" s="2277" t="s">
        <v>444</v>
      </c>
      <c r="AQ20" s="2383" t="s">
        <v>444</v>
      </c>
      <c r="AR20" s="2277" t="s">
        <v>444</v>
      </c>
      <c r="AS20" s="2383" t="s">
        <v>444</v>
      </c>
      <c r="AT20" s="2277" t="s">
        <v>444</v>
      </c>
      <c r="AU20" s="2383" t="s">
        <v>444</v>
      </c>
      <c r="AV20" s="2277" t="s">
        <v>444</v>
      </c>
      <c r="AW20" s="2383" t="s">
        <v>444</v>
      </c>
      <c r="AX20" s="2277" t="s">
        <v>444</v>
      </c>
      <c r="AY20" s="2383" t="s">
        <v>444</v>
      </c>
      <c r="AZ20" s="2277" t="s">
        <v>444</v>
      </c>
      <c r="BA20" s="2383" t="s">
        <v>444</v>
      </c>
      <c r="BB20" s="2277" t="s">
        <v>444</v>
      </c>
      <c r="BC20" s="2383" t="s">
        <v>444</v>
      </c>
      <c r="BD20" s="2277" t="s">
        <v>444</v>
      </c>
      <c r="BE20" s="2383" t="s">
        <v>444</v>
      </c>
      <c r="BF20" s="2277" t="s">
        <v>444</v>
      </c>
      <c r="BG20" s="2383" t="s">
        <v>444</v>
      </c>
      <c r="BH20" s="2277" t="s">
        <v>444</v>
      </c>
      <c r="BI20" s="2383" t="s">
        <v>444</v>
      </c>
      <c r="BJ20" s="2277" t="s">
        <v>444</v>
      </c>
      <c r="BK20" s="2383" t="s">
        <v>444</v>
      </c>
      <c r="BL20" s="2277" t="s">
        <v>444</v>
      </c>
      <c r="BM20" s="2383" t="s">
        <v>444</v>
      </c>
      <c r="BN20" s="2277" t="s">
        <v>444</v>
      </c>
      <c r="BO20" s="2383" t="s">
        <v>444</v>
      </c>
      <c r="BP20" s="2277" t="s">
        <v>444</v>
      </c>
      <c r="BQ20" s="2383" t="s">
        <v>444</v>
      </c>
      <c r="BR20" s="2277" t="s">
        <v>444</v>
      </c>
      <c r="BS20" s="2383" t="s">
        <v>444</v>
      </c>
      <c r="BT20" s="2277" t="s">
        <v>444</v>
      </c>
      <c r="BU20" s="2383" t="s">
        <v>444</v>
      </c>
      <c r="BV20" s="2277" t="s">
        <v>444</v>
      </c>
      <c r="BW20" s="2383" t="s">
        <v>444</v>
      </c>
      <c r="BX20" s="2277" t="s">
        <v>444</v>
      </c>
      <c r="BY20" s="2383" t="s">
        <v>444</v>
      </c>
      <c r="BZ20" s="2277" t="s">
        <v>444</v>
      </c>
      <c r="CA20" s="2383" t="s">
        <v>444</v>
      </c>
      <c r="CB20" s="2277" t="s">
        <v>444</v>
      </c>
      <c r="CC20" s="2383" t="s">
        <v>444</v>
      </c>
      <c r="CD20" s="2277" t="s">
        <v>444</v>
      </c>
      <c r="CE20" s="2383" t="s">
        <v>444</v>
      </c>
      <c r="CF20" s="2277" t="s">
        <v>444</v>
      </c>
      <c r="CG20" s="2383" t="s">
        <v>444</v>
      </c>
      <c r="CH20" s="2277" t="s">
        <v>444</v>
      </c>
      <c r="CI20" s="952"/>
      <c r="CJ20" s="724"/>
      <c r="CU20" s="679"/>
      <c r="CV20" s="762">
        <v>0</v>
      </c>
    </row>
    <row s="1639" customFormat="1" customHeight="1" ht="33.75" hidden="1">
      <c r="A21" s="2409"/>
      <c r="C21" s="960"/>
      <c r="D21" s="957" t="s">
        <v>945</v>
      </c>
      <c r="E21" s="580" t="s">
        <v>1025</v>
      </c>
      <c r="F21" s="954" t="s">
        <v>1026</v>
      </c>
      <c r="G21" s="684"/>
      <c r="H21" s="110"/>
      <c r="I21" s="684"/>
      <c r="J21" s="110"/>
      <c r="K21" s="684"/>
      <c r="L21" s="2518"/>
      <c r="M21" s="684"/>
      <c r="N21" s="2518"/>
      <c r="O21" s="684"/>
      <c r="P21" s="2518"/>
      <c r="Q21" s="684"/>
      <c r="R21" s="2518"/>
      <c r="S21" s="684"/>
      <c r="T21" s="2518"/>
      <c r="U21" s="684"/>
      <c r="V21" s="2518"/>
      <c r="W21" s="684"/>
      <c r="X21" s="2518"/>
      <c r="Y21" s="684"/>
      <c r="Z21" s="2518"/>
      <c r="AA21" s="684"/>
      <c r="AB21" s="2518"/>
      <c r="AC21" s="684"/>
      <c r="AD21" s="2518"/>
      <c r="AE21" s="684"/>
      <c r="AF21" s="2518"/>
      <c r="AG21" s="684"/>
      <c r="AH21" s="2518"/>
      <c r="AI21" s="684"/>
      <c r="AJ21" s="2518"/>
      <c r="AK21" s="684"/>
      <c r="AL21" s="2518"/>
      <c r="AM21" s="684"/>
      <c r="AN21" s="2518"/>
      <c r="AO21" s="684"/>
      <c r="AP21" s="2518"/>
      <c r="AQ21" s="684"/>
      <c r="AR21" s="2518"/>
      <c r="AS21" s="684"/>
      <c r="AT21" s="2518"/>
      <c r="AU21" s="684"/>
      <c r="AV21" s="2518"/>
      <c r="AW21" s="684"/>
      <c r="AX21" s="2518"/>
      <c r="AY21" s="684"/>
      <c r="AZ21" s="2518"/>
      <c r="BA21" s="684"/>
      <c r="BB21" s="2518"/>
      <c r="BC21" s="684"/>
      <c r="BD21" s="2518"/>
      <c r="BE21" s="684"/>
      <c r="BF21" s="2518"/>
      <c r="BG21" s="684"/>
      <c r="BH21" s="2518"/>
      <c r="BI21" s="684"/>
      <c r="BJ21" s="2518"/>
      <c r="BK21" s="684"/>
      <c r="BL21" s="2518"/>
      <c r="BM21" s="684"/>
      <c r="BN21" s="2518"/>
      <c r="BO21" s="684"/>
      <c r="BP21" s="2518"/>
      <c r="BQ21" s="684"/>
      <c r="BR21" s="2518"/>
      <c r="BS21" s="684"/>
      <c r="BT21" s="2518"/>
      <c r="BU21" s="684"/>
      <c r="BV21" s="2518"/>
      <c r="BW21" s="684"/>
      <c r="BX21" s="2518"/>
      <c r="BY21" s="684"/>
      <c r="BZ21" s="2518"/>
      <c r="CA21" s="684"/>
      <c r="CB21" s="2518"/>
      <c r="CC21" s="684"/>
      <c r="CD21" s="2518"/>
      <c r="CE21" s="684"/>
      <c r="CF21" s="2518"/>
      <c r="CG21" s="684"/>
      <c r="CH21" s="2518"/>
      <c r="CI21" s="952"/>
      <c r="CJ21" s="724"/>
      <c r="CU21" s="679"/>
      <c r="CV21" s="762">
        <v>0</v>
      </c>
    </row>
    <row s="1639" customFormat="1" customHeight="1" ht="33.75" hidden="1">
      <c r="A22" s="2409"/>
      <c r="C22" s="960"/>
      <c r="D22" s="957" t="s">
        <v>948</v>
      </c>
      <c r="E22" s="580" t="s">
        <v>1027</v>
      </c>
      <c r="F22" s="954" t="s">
        <v>1028</v>
      </c>
      <c r="G22" s="684"/>
      <c r="H22" s="110"/>
      <c r="I22" s="684"/>
      <c r="J22" s="110"/>
      <c r="K22" s="684"/>
      <c r="L22" s="2518"/>
      <c r="M22" s="684"/>
      <c r="N22" s="2518"/>
      <c r="O22" s="684"/>
      <c r="P22" s="2518"/>
      <c r="Q22" s="684"/>
      <c r="R22" s="2518"/>
      <c r="S22" s="684"/>
      <c r="T22" s="2518"/>
      <c r="U22" s="684"/>
      <c r="V22" s="2518"/>
      <c r="W22" s="684"/>
      <c r="X22" s="2518"/>
      <c r="Y22" s="684"/>
      <c r="Z22" s="2518"/>
      <c r="AA22" s="684"/>
      <c r="AB22" s="2518"/>
      <c r="AC22" s="684"/>
      <c r="AD22" s="2518"/>
      <c r="AE22" s="684"/>
      <c r="AF22" s="2518"/>
      <c r="AG22" s="684"/>
      <c r="AH22" s="2518"/>
      <c r="AI22" s="684"/>
      <c r="AJ22" s="2518"/>
      <c r="AK22" s="684"/>
      <c r="AL22" s="2518"/>
      <c r="AM22" s="684"/>
      <c r="AN22" s="2518"/>
      <c r="AO22" s="684"/>
      <c r="AP22" s="2518"/>
      <c r="AQ22" s="684"/>
      <c r="AR22" s="2518"/>
      <c r="AS22" s="684"/>
      <c r="AT22" s="2518"/>
      <c r="AU22" s="684"/>
      <c r="AV22" s="2518"/>
      <c r="AW22" s="684"/>
      <c r="AX22" s="2518"/>
      <c r="AY22" s="684"/>
      <c r="AZ22" s="2518"/>
      <c r="BA22" s="684"/>
      <c r="BB22" s="2518"/>
      <c r="BC22" s="684"/>
      <c r="BD22" s="2518"/>
      <c r="BE22" s="684"/>
      <c r="BF22" s="2518"/>
      <c r="BG22" s="684"/>
      <c r="BH22" s="2518"/>
      <c r="BI22" s="684"/>
      <c r="BJ22" s="2518"/>
      <c r="BK22" s="684"/>
      <c r="BL22" s="2518"/>
      <c r="BM22" s="684"/>
      <c r="BN22" s="2518"/>
      <c r="BO22" s="684"/>
      <c r="BP22" s="2518"/>
      <c r="BQ22" s="684"/>
      <c r="BR22" s="2518"/>
      <c r="BS22" s="684"/>
      <c r="BT22" s="2518"/>
      <c r="BU22" s="684"/>
      <c r="BV22" s="2518"/>
      <c r="BW22" s="684"/>
      <c r="BX22" s="2518"/>
      <c r="BY22" s="684"/>
      <c r="BZ22" s="2518"/>
      <c r="CA22" s="684"/>
      <c r="CB22" s="2518"/>
      <c r="CC22" s="684"/>
      <c r="CD22" s="2518"/>
      <c r="CE22" s="684"/>
      <c r="CF22" s="2518"/>
      <c r="CG22" s="684"/>
      <c r="CH22" s="2518"/>
      <c r="CI22" s="952"/>
      <c r="CJ22" s="724"/>
      <c r="CU22" s="679"/>
      <c r="CV22" s="762">
        <v>0</v>
      </c>
    </row>
    <row s="1639" customFormat="1" customHeight="1" ht="22.5" hidden="1">
      <c r="A23" s="2409"/>
      <c r="C23" s="960"/>
      <c r="D23" s="957" t="s">
        <v>986</v>
      </c>
      <c r="E23" s="958" t="s">
        <v>1029</v>
      </c>
      <c r="F23" s="954" t="s">
        <v>444</v>
      </c>
      <c r="G23" s="954" t="s">
        <v>444</v>
      </c>
      <c r="H23" s="953" t="s">
        <v>444</v>
      </c>
      <c r="I23" s="954" t="s">
        <v>444</v>
      </c>
      <c r="J23" s="953" t="s">
        <v>444</v>
      </c>
      <c r="K23" s="2383" t="s">
        <v>444</v>
      </c>
      <c r="L23" s="2277" t="s">
        <v>444</v>
      </c>
      <c r="M23" s="2383" t="s">
        <v>444</v>
      </c>
      <c r="N23" s="2277" t="s">
        <v>444</v>
      </c>
      <c r="O23" s="2383" t="s">
        <v>444</v>
      </c>
      <c r="P23" s="2277" t="s">
        <v>444</v>
      </c>
      <c r="Q23" s="2383" t="s">
        <v>444</v>
      </c>
      <c r="R23" s="2277" t="s">
        <v>444</v>
      </c>
      <c r="S23" s="2383" t="s">
        <v>444</v>
      </c>
      <c r="T23" s="2277" t="s">
        <v>444</v>
      </c>
      <c r="U23" s="2383" t="s">
        <v>444</v>
      </c>
      <c r="V23" s="2277" t="s">
        <v>444</v>
      </c>
      <c r="W23" s="2383" t="s">
        <v>444</v>
      </c>
      <c r="X23" s="2277" t="s">
        <v>444</v>
      </c>
      <c r="Y23" s="2383" t="s">
        <v>444</v>
      </c>
      <c r="Z23" s="2277" t="s">
        <v>444</v>
      </c>
      <c r="AA23" s="2383" t="s">
        <v>444</v>
      </c>
      <c r="AB23" s="2277" t="s">
        <v>444</v>
      </c>
      <c r="AC23" s="2383" t="s">
        <v>444</v>
      </c>
      <c r="AD23" s="2277" t="s">
        <v>444</v>
      </c>
      <c r="AE23" s="2383" t="s">
        <v>444</v>
      </c>
      <c r="AF23" s="2277" t="s">
        <v>444</v>
      </c>
      <c r="AG23" s="2383" t="s">
        <v>444</v>
      </c>
      <c r="AH23" s="2277" t="s">
        <v>444</v>
      </c>
      <c r="AI23" s="2383" t="s">
        <v>444</v>
      </c>
      <c r="AJ23" s="2277" t="s">
        <v>444</v>
      </c>
      <c r="AK23" s="2383" t="s">
        <v>444</v>
      </c>
      <c r="AL23" s="2277" t="s">
        <v>444</v>
      </c>
      <c r="AM23" s="2383" t="s">
        <v>444</v>
      </c>
      <c r="AN23" s="2277" t="s">
        <v>444</v>
      </c>
      <c r="AO23" s="2383" t="s">
        <v>444</v>
      </c>
      <c r="AP23" s="2277" t="s">
        <v>444</v>
      </c>
      <c r="AQ23" s="2383" t="s">
        <v>444</v>
      </c>
      <c r="AR23" s="2277" t="s">
        <v>444</v>
      </c>
      <c r="AS23" s="2383" t="s">
        <v>444</v>
      </c>
      <c r="AT23" s="2277" t="s">
        <v>444</v>
      </c>
      <c r="AU23" s="2383" t="s">
        <v>444</v>
      </c>
      <c r="AV23" s="2277" t="s">
        <v>444</v>
      </c>
      <c r="AW23" s="2383" t="s">
        <v>444</v>
      </c>
      <c r="AX23" s="2277" t="s">
        <v>444</v>
      </c>
      <c r="AY23" s="2383" t="s">
        <v>444</v>
      </c>
      <c r="AZ23" s="2277" t="s">
        <v>444</v>
      </c>
      <c r="BA23" s="2383" t="s">
        <v>444</v>
      </c>
      <c r="BB23" s="2277" t="s">
        <v>444</v>
      </c>
      <c r="BC23" s="2383" t="s">
        <v>444</v>
      </c>
      <c r="BD23" s="2277" t="s">
        <v>444</v>
      </c>
      <c r="BE23" s="2383" t="s">
        <v>444</v>
      </c>
      <c r="BF23" s="2277" t="s">
        <v>444</v>
      </c>
      <c r="BG23" s="2383" t="s">
        <v>444</v>
      </c>
      <c r="BH23" s="2277" t="s">
        <v>444</v>
      </c>
      <c r="BI23" s="2383" t="s">
        <v>444</v>
      </c>
      <c r="BJ23" s="2277" t="s">
        <v>444</v>
      </c>
      <c r="BK23" s="2383" t="s">
        <v>444</v>
      </c>
      <c r="BL23" s="2277" t="s">
        <v>444</v>
      </c>
      <c r="BM23" s="2383" t="s">
        <v>444</v>
      </c>
      <c r="BN23" s="2277" t="s">
        <v>444</v>
      </c>
      <c r="BO23" s="2383" t="s">
        <v>444</v>
      </c>
      <c r="BP23" s="2277" t="s">
        <v>444</v>
      </c>
      <c r="BQ23" s="2383" t="s">
        <v>444</v>
      </c>
      <c r="BR23" s="2277" t="s">
        <v>444</v>
      </c>
      <c r="BS23" s="2383" t="s">
        <v>444</v>
      </c>
      <c r="BT23" s="2277" t="s">
        <v>444</v>
      </c>
      <c r="BU23" s="2383" t="s">
        <v>444</v>
      </c>
      <c r="BV23" s="2277" t="s">
        <v>444</v>
      </c>
      <c r="BW23" s="2383" t="s">
        <v>444</v>
      </c>
      <c r="BX23" s="2277" t="s">
        <v>444</v>
      </c>
      <c r="BY23" s="2383" t="s">
        <v>444</v>
      </c>
      <c r="BZ23" s="2277" t="s">
        <v>444</v>
      </c>
      <c r="CA23" s="2383" t="s">
        <v>444</v>
      </c>
      <c r="CB23" s="2277" t="s">
        <v>444</v>
      </c>
      <c r="CC23" s="2383" t="s">
        <v>444</v>
      </c>
      <c r="CD23" s="2277" t="s">
        <v>444</v>
      </c>
      <c r="CE23" s="2383" t="s">
        <v>444</v>
      </c>
      <c r="CF23" s="2277" t="s">
        <v>444</v>
      </c>
      <c r="CG23" s="2383" t="s">
        <v>444</v>
      </c>
      <c r="CH23" s="2277" t="s">
        <v>444</v>
      </c>
      <c r="CI23" s="952"/>
      <c r="CJ23" s="724"/>
      <c r="CU23" s="679"/>
      <c r="CV23" s="762">
        <v>0</v>
      </c>
    </row>
    <row s="1639" customFormat="1" customHeight="1" ht="22.5" hidden="1">
      <c r="A24" s="2409"/>
      <c r="C24" s="960"/>
      <c r="D24" s="957" t="s">
        <v>1030</v>
      </c>
      <c r="E24" s="580" t="s">
        <v>1031</v>
      </c>
      <c r="F24" s="954" t="s">
        <v>1032</v>
      </c>
      <c r="G24" s="684"/>
      <c r="H24" s="690"/>
      <c r="I24" s="684"/>
      <c r="J24" s="690"/>
      <c r="K24" s="684"/>
      <c r="L24" s="2370"/>
      <c r="M24" s="684"/>
      <c r="N24" s="2370"/>
      <c r="O24" s="684"/>
      <c r="P24" s="2370"/>
      <c r="Q24" s="684"/>
      <c r="R24" s="2370"/>
      <c r="S24" s="684"/>
      <c r="T24" s="2370"/>
      <c r="U24" s="684"/>
      <c r="V24" s="2370"/>
      <c r="W24" s="684"/>
      <c r="X24" s="2370"/>
      <c r="Y24" s="684"/>
      <c r="Z24" s="2370"/>
      <c r="AA24" s="684"/>
      <c r="AB24" s="2370"/>
      <c r="AC24" s="684"/>
      <c r="AD24" s="2370"/>
      <c r="AE24" s="684"/>
      <c r="AF24" s="2370"/>
      <c r="AG24" s="684"/>
      <c r="AH24" s="2370"/>
      <c r="AI24" s="684"/>
      <c r="AJ24" s="2370"/>
      <c r="AK24" s="684"/>
      <c r="AL24" s="2370"/>
      <c r="AM24" s="684"/>
      <c r="AN24" s="2370"/>
      <c r="AO24" s="684"/>
      <c r="AP24" s="2370"/>
      <c r="AQ24" s="684"/>
      <c r="AR24" s="2370"/>
      <c r="AS24" s="684"/>
      <c r="AT24" s="2370"/>
      <c r="AU24" s="684"/>
      <c r="AV24" s="2370"/>
      <c r="AW24" s="684"/>
      <c r="AX24" s="2370"/>
      <c r="AY24" s="684"/>
      <c r="AZ24" s="2370"/>
      <c r="BA24" s="684"/>
      <c r="BB24" s="2370"/>
      <c r="BC24" s="684"/>
      <c r="BD24" s="2370"/>
      <c r="BE24" s="684"/>
      <c r="BF24" s="2370"/>
      <c r="BG24" s="684"/>
      <c r="BH24" s="2370"/>
      <c r="BI24" s="684"/>
      <c r="BJ24" s="2370"/>
      <c r="BK24" s="684"/>
      <c r="BL24" s="2370"/>
      <c r="BM24" s="684"/>
      <c r="BN24" s="2370"/>
      <c r="BO24" s="684"/>
      <c r="BP24" s="2370"/>
      <c r="BQ24" s="684"/>
      <c r="BR24" s="2370"/>
      <c r="BS24" s="684"/>
      <c r="BT24" s="2370"/>
      <c r="BU24" s="684"/>
      <c r="BV24" s="2370"/>
      <c r="BW24" s="684"/>
      <c r="BX24" s="2370"/>
      <c r="BY24" s="684"/>
      <c r="BZ24" s="2370"/>
      <c r="CA24" s="684"/>
      <c r="CB24" s="2370"/>
      <c r="CC24" s="684"/>
      <c r="CD24" s="2370"/>
      <c r="CE24" s="684"/>
      <c r="CF24" s="2370"/>
      <c r="CG24" s="684"/>
      <c r="CH24" s="2370"/>
      <c r="CI24" s="952"/>
      <c r="CJ24" s="724"/>
      <c r="CU24" s="679"/>
      <c r="CV24" s="762">
        <v>0</v>
      </c>
    </row>
    <row s="1639" customFormat="1" customHeight="1" ht="22.5" hidden="1">
      <c r="A25" s="2409"/>
      <c r="C25" s="960"/>
      <c r="D25" s="957" t="s">
        <v>1033</v>
      </c>
      <c r="E25" s="580" t="s">
        <v>1034</v>
      </c>
      <c r="F25" s="954" t="s">
        <v>444</v>
      </c>
      <c r="G25" s="954" t="s">
        <v>444</v>
      </c>
      <c r="H25" s="953" t="s">
        <v>444</v>
      </c>
      <c r="I25" s="954" t="s">
        <v>444</v>
      </c>
      <c r="J25" s="953" t="s">
        <v>444</v>
      </c>
      <c r="K25" s="2383" t="s">
        <v>444</v>
      </c>
      <c r="L25" s="2277" t="s">
        <v>444</v>
      </c>
      <c r="M25" s="2383" t="s">
        <v>444</v>
      </c>
      <c r="N25" s="2277" t="s">
        <v>444</v>
      </c>
      <c r="O25" s="2383" t="s">
        <v>444</v>
      </c>
      <c r="P25" s="2277" t="s">
        <v>444</v>
      </c>
      <c r="Q25" s="2383" t="s">
        <v>444</v>
      </c>
      <c r="R25" s="2277" t="s">
        <v>444</v>
      </c>
      <c r="S25" s="2383" t="s">
        <v>444</v>
      </c>
      <c r="T25" s="2277" t="s">
        <v>444</v>
      </c>
      <c r="U25" s="2383" t="s">
        <v>444</v>
      </c>
      <c r="V25" s="2277" t="s">
        <v>444</v>
      </c>
      <c r="W25" s="2383" t="s">
        <v>444</v>
      </c>
      <c r="X25" s="2277" t="s">
        <v>444</v>
      </c>
      <c r="Y25" s="2383" t="s">
        <v>444</v>
      </c>
      <c r="Z25" s="2277" t="s">
        <v>444</v>
      </c>
      <c r="AA25" s="2383" t="s">
        <v>444</v>
      </c>
      <c r="AB25" s="2277" t="s">
        <v>444</v>
      </c>
      <c r="AC25" s="2383" t="s">
        <v>444</v>
      </c>
      <c r="AD25" s="2277" t="s">
        <v>444</v>
      </c>
      <c r="AE25" s="2383" t="s">
        <v>444</v>
      </c>
      <c r="AF25" s="2277" t="s">
        <v>444</v>
      </c>
      <c r="AG25" s="2383" t="s">
        <v>444</v>
      </c>
      <c r="AH25" s="2277" t="s">
        <v>444</v>
      </c>
      <c r="AI25" s="2383" t="s">
        <v>444</v>
      </c>
      <c r="AJ25" s="2277" t="s">
        <v>444</v>
      </c>
      <c r="AK25" s="2383" t="s">
        <v>444</v>
      </c>
      <c r="AL25" s="2277" t="s">
        <v>444</v>
      </c>
      <c r="AM25" s="2383" t="s">
        <v>444</v>
      </c>
      <c r="AN25" s="2277" t="s">
        <v>444</v>
      </c>
      <c r="AO25" s="2383" t="s">
        <v>444</v>
      </c>
      <c r="AP25" s="2277" t="s">
        <v>444</v>
      </c>
      <c r="AQ25" s="2383" t="s">
        <v>444</v>
      </c>
      <c r="AR25" s="2277" t="s">
        <v>444</v>
      </c>
      <c r="AS25" s="2383" t="s">
        <v>444</v>
      </c>
      <c r="AT25" s="2277" t="s">
        <v>444</v>
      </c>
      <c r="AU25" s="2383" t="s">
        <v>444</v>
      </c>
      <c r="AV25" s="2277" t="s">
        <v>444</v>
      </c>
      <c r="AW25" s="2383" t="s">
        <v>444</v>
      </c>
      <c r="AX25" s="2277" t="s">
        <v>444</v>
      </c>
      <c r="AY25" s="2383" t="s">
        <v>444</v>
      </c>
      <c r="AZ25" s="2277" t="s">
        <v>444</v>
      </c>
      <c r="BA25" s="2383" t="s">
        <v>444</v>
      </c>
      <c r="BB25" s="2277" t="s">
        <v>444</v>
      </c>
      <c r="BC25" s="2383" t="s">
        <v>444</v>
      </c>
      <c r="BD25" s="2277" t="s">
        <v>444</v>
      </c>
      <c r="BE25" s="2383" t="s">
        <v>444</v>
      </c>
      <c r="BF25" s="2277" t="s">
        <v>444</v>
      </c>
      <c r="BG25" s="2383" t="s">
        <v>444</v>
      </c>
      <c r="BH25" s="2277" t="s">
        <v>444</v>
      </c>
      <c r="BI25" s="2383" t="s">
        <v>444</v>
      </c>
      <c r="BJ25" s="2277" t="s">
        <v>444</v>
      </c>
      <c r="BK25" s="2383" t="s">
        <v>444</v>
      </c>
      <c r="BL25" s="2277" t="s">
        <v>444</v>
      </c>
      <c r="BM25" s="2383" t="s">
        <v>444</v>
      </c>
      <c r="BN25" s="2277" t="s">
        <v>444</v>
      </c>
      <c r="BO25" s="2383" t="s">
        <v>444</v>
      </c>
      <c r="BP25" s="2277" t="s">
        <v>444</v>
      </c>
      <c r="BQ25" s="2383" t="s">
        <v>444</v>
      </c>
      <c r="BR25" s="2277" t="s">
        <v>444</v>
      </c>
      <c r="BS25" s="2383" t="s">
        <v>444</v>
      </c>
      <c r="BT25" s="2277" t="s">
        <v>444</v>
      </c>
      <c r="BU25" s="2383" t="s">
        <v>444</v>
      </c>
      <c r="BV25" s="2277" t="s">
        <v>444</v>
      </c>
      <c r="BW25" s="2383" t="s">
        <v>444</v>
      </c>
      <c r="BX25" s="2277" t="s">
        <v>444</v>
      </c>
      <c r="BY25" s="2383" t="s">
        <v>444</v>
      </c>
      <c r="BZ25" s="2277" t="s">
        <v>444</v>
      </c>
      <c r="CA25" s="2383" t="s">
        <v>444</v>
      </c>
      <c r="CB25" s="2277" t="s">
        <v>444</v>
      </c>
      <c r="CC25" s="2383" t="s">
        <v>444</v>
      </c>
      <c r="CD25" s="2277" t="s">
        <v>444</v>
      </c>
      <c r="CE25" s="2383" t="s">
        <v>444</v>
      </c>
      <c r="CF25" s="2277" t="s">
        <v>444</v>
      </c>
      <c r="CG25" s="2383" t="s">
        <v>444</v>
      </c>
      <c r="CH25" s="2277" t="s">
        <v>444</v>
      </c>
      <c r="CI25" s="952"/>
      <c r="CJ25" s="724"/>
      <c r="CU25" s="679"/>
      <c r="CV25" s="762">
        <v>0</v>
      </c>
    </row>
    <row s="1639" customFormat="1" customHeight="1" ht="18.75" hidden="1">
      <c r="A26" s="2409"/>
      <c r="C26" s="960"/>
      <c r="D26" s="957" t="s">
        <v>1035</v>
      </c>
      <c r="E26" s="557" t="s">
        <v>1036</v>
      </c>
      <c r="F26" s="954" t="s">
        <v>1037</v>
      </c>
      <c r="G26" s="684"/>
      <c r="H26" s="690"/>
      <c r="I26" s="684"/>
      <c r="J26" s="690"/>
      <c r="K26" s="684"/>
      <c r="L26" s="2370"/>
      <c r="M26" s="684"/>
      <c r="N26" s="2370"/>
      <c r="O26" s="684"/>
      <c r="P26" s="2370"/>
      <c r="Q26" s="684"/>
      <c r="R26" s="2370"/>
      <c r="S26" s="684"/>
      <c r="T26" s="2370"/>
      <c r="U26" s="684"/>
      <c r="V26" s="2370"/>
      <c r="W26" s="684"/>
      <c r="X26" s="2370"/>
      <c r="Y26" s="684"/>
      <c r="Z26" s="2370"/>
      <c r="AA26" s="684"/>
      <c r="AB26" s="2370"/>
      <c r="AC26" s="684"/>
      <c r="AD26" s="2370"/>
      <c r="AE26" s="684"/>
      <c r="AF26" s="2370"/>
      <c r="AG26" s="684"/>
      <c r="AH26" s="2370"/>
      <c r="AI26" s="684"/>
      <c r="AJ26" s="2370"/>
      <c r="AK26" s="684"/>
      <c r="AL26" s="2370"/>
      <c r="AM26" s="684"/>
      <c r="AN26" s="2370"/>
      <c r="AO26" s="684"/>
      <c r="AP26" s="2370"/>
      <c r="AQ26" s="684"/>
      <c r="AR26" s="2370"/>
      <c r="AS26" s="684"/>
      <c r="AT26" s="2370"/>
      <c r="AU26" s="684"/>
      <c r="AV26" s="2370"/>
      <c r="AW26" s="684"/>
      <c r="AX26" s="2370"/>
      <c r="AY26" s="684"/>
      <c r="AZ26" s="2370"/>
      <c r="BA26" s="684"/>
      <c r="BB26" s="2370"/>
      <c r="BC26" s="684"/>
      <c r="BD26" s="2370"/>
      <c r="BE26" s="684"/>
      <c r="BF26" s="2370"/>
      <c r="BG26" s="684"/>
      <c r="BH26" s="2370"/>
      <c r="BI26" s="684"/>
      <c r="BJ26" s="2370"/>
      <c r="BK26" s="684"/>
      <c r="BL26" s="2370"/>
      <c r="BM26" s="684"/>
      <c r="BN26" s="2370"/>
      <c r="BO26" s="684"/>
      <c r="BP26" s="2370"/>
      <c r="BQ26" s="684"/>
      <c r="BR26" s="2370"/>
      <c r="BS26" s="684"/>
      <c r="BT26" s="2370"/>
      <c r="BU26" s="684"/>
      <c r="BV26" s="2370"/>
      <c r="BW26" s="684"/>
      <c r="BX26" s="2370"/>
      <c r="BY26" s="684"/>
      <c r="BZ26" s="2370"/>
      <c r="CA26" s="684"/>
      <c r="CB26" s="2370"/>
      <c r="CC26" s="684"/>
      <c r="CD26" s="2370"/>
      <c r="CE26" s="684"/>
      <c r="CF26" s="2370"/>
      <c r="CG26" s="684"/>
      <c r="CH26" s="2370"/>
      <c r="CI26" s="952"/>
      <c r="CJ26" s="724"/>
      <c r="CU26" s="679"/>
      <c r="CV26" s="762">
        <v>0</v>
      </c>
    </row>
    <row s="1639" customFormat="1" customHeight="1" ht="18.75" hidden="1">
      <c r="A27" s="2409"/>
      <c r="C27" s="960"/>
      <c r="D27" s="957" t="s">
        <v>1038</v>
      </c>
      <c r="E27" s="557" t="s">
        <v>1039</v>
      </c>
      <c r="F27" s="954" t="s">
        <v>1040</v>
      </c>
      <c r="G27" s="684"/>
      <c r="H27" s="690"/>
      <c r="I27" s="684"/>
      <c r="J27" s="690"/>
      <c r="K27" s="684"/>
      <c r="L27" s="2370"/>
      <c r="M27" s="684"/>
      <c r="N27" s="2370"/>
      <c r="O27" s="684"/>
      <c r="P27" s="2370"/>
      <c r="Q27" s="684"/>
      <c r="R27" s="2370"/>
      <c r="S27" s="684"/>
      <c r="T27" s="2370"/>
      <c r="U27" s="684"/>
      <c r="V27" s="2370"/>
      <c r="W27" s="684"/>
      <c r="X27" s="2370"/>
      <c r="Y27" s="684"/>
      <c r="Z27" s="2370"/>
      <c r="AA27" s="684"/>
      <c r="AB27" s="2370"/>
      <c r="AC27" s="684"/>
      <c r="AD27" s="2370"/>
      <c r="AE27" s="684"/>
      <c r="AF27" s="2370"/>
      <c r="AG27" s="684"/>
      <c r="AH27" s="2370"/>
      <c r="AI27" s="684"/>
      <c r="AJ27" s="2370"/>
      <c r="AK27" s="684"/>
      <c r="AL27" s="2370"/>
      <c r="AM27" s="684"/>
      <c r="AN27" s="2370"/>
      <c r="AO27" s="684"/>
      <c r="AP27" s="2370"/>
      <c r="AQ27" s="684"/>
      <c r="AR27" s="2370"/>
      <c r="AS27" s="684"/>
      <c r="AT27" s="2370"/>
      <c r="AU27" s="684"/>
      <c r="AV27" s="2370"/>
      <c r="AW27" s="684"/>
      <c r="AX27" s="2370"/>
      <c r="AY27" s="684"/>
      <c r="AZ27" s="2370"/>
      <c r="BA27" s="684"/>
      <c r="BB27" s="2370"/>
      <c r="BC27" s="684"/>
      <c r="BD27" s="2370"/>
      <c r="BE27" s="684"/>
      <c r="BF27" s="2370"/>
      <c r="BG27" s="684"/>
      <c r="BH27" s="2370"/>
      <c r="BI27" s="684"/>
      <c r="BJ27" s="2370"/>
      <c r="BK27" s="684"/>
      <c r="BL27" s="2370"/>
      <c r="BM27" s="684"/>
      <c r="BN27" s="2370"/>
      <c r="BO27" s="684"/>
      <c r="BP27" s="2370"/>
      <c r="BQ27" s="684"/>
      <c r="BR27" s="2370"/>
      <c r="BS27" s="684"/>
      <c r="BT27" s="2370"/>
      <c r="BU27" s="684"/>
      <c r="BV27" s="2370"/>
      <c r="BW27" s="684"/>
      <c r="BX27" s="2370"/>
      <c r="BY27" s="684"/>
      <c r="BZ27" s="2370"/>
      <c r="CA27" s="684"/>
      <c r="CB27" s="2370"/>
      <c r="CC27" s="684"/>
      <c r="CD27" s="2370"/>
      <c r="CE27" s="684"/>
      <c r="CF27" s="2370"/>
      <c r="CG27" s="684"/>
      <c r="CH27" s="2370"/>
      <c r="CI27" s="952"/>
      <c r="CJ27" s="724"/>
      <c r="CU27" s="679"/>
      <c r="CV27" s="762">
        <v>0</v>
      </c>
    </row>
    <row s="1639" customFormat="1" customHeight="1" ht="18.75" hidden="1">
      <c r="A28" s="2409"/>
      <c r="C28" s="960"/>
      <c r="D28" s="957" t="s">
        <v>1041</v>
      </c>
      <c r="E28" s="580" t="s">
        <v>1042</v>
      </c>
      <c r="F28" s="954" t="s">
        <v>444</v>
      </c>
      <c r="G28" s="954" t="s">
        <v>444</v>
      </c>
      <c r="H28" s="953" t="s">
        <v>444</v>
      </c>
      <c r="I28" s="954" t="s">
        <v>444</v>
      </c>
      <c r="J28" s="953" t="s">
        <v>444</v>
      </c>
      <c r="K28" s="2383" t="s">
        <v>444</v>
      </c>
      <c r="L28" s="2277" t="s">
        <v>444</v>
      </c>
      <c r="M28" s="2383" t="s">
        <v>444</v>
      </c>
      <c r="N28" s="2277" t="s">
        <v>444</v>
      </c>
      <c r="O28" s="2383" t="s">
        <v>444</v>
      </c>
      <c r="P28" s="2277" t="s">
        <v>444</v>
      </c>
      <c r="Q28" s="2383" t="s">
        <v>444</v>
      </c>
      <c r="R28" s="2277" t="s">
        <v>444</v>
      </c>
      <c r="S28" s="2383" t="s">
        <v>444</v>
      </c>
      <c r="T28" s="2277" t="s">
        <v>444</v>
      </c>
      <c r="U28" s="2383" t="s">
        <v>444</v>
      </c>
      <c r="V28" s="2277" t="s">
        <v>444</v>
      </c>
      <c r="W28" s="2383" t="s">
        <v>444</v>
      </c>
      <c r="X28" s="2277" t="s">
        <v>444</v>
      </c>
      <c r="Y28" s="2383" t="s">
        <v>444</v>
      </c>
      <c r="Z28" s="2277" t="s">
        <v>444</v>
      </c>
      <c r="AA28" s="2383" t="s">
        <v>444</v>
      </c>
      <c r="AB28" s="2277" t="s">
        <v>444</v>
      </c>
      <c r="AC28" s="2383" t="s">
        <v>444</v>
      </c>
      <c r="AD28" s="2277" t="s">
        <v>444</v>
      </c>
      <c r="AE28" s="2383" t="s">
        <v>444</v>
      </c>
      <c r="AF28" s="2277" t="s">
        <v>444</v>
      </c>
      <c r="AG28" s="2383" t="s">
        <v>444</v>
      </c>
      <c r="AH28" s="2277" t="s">
        <v>444</v>
      </c>
      <c r="AI28" s="2383" t="s">
        <v>444</v>
      </c>
      <c r="AJ28" s="2277" t="s">
        <v>444</v>
      </c>
      <c r="AK28" s="2383" t="s">
        <v>444</v>
      </c>
      <c r="AL28" s="2277" t="s">
        <v>444</v>
      </c>
      <c r="AM28" s="2383" t="s">
        <v>444</v>
      </c>
      <c r="AN28" s="2277" t="s">
        <v>444</v>
      </c>
      <c r="AO28" s="2383" t="s">
        <v>444</v>
      </c>
      <c r="AP28" s="2277" t="s">
        <v>444</v>
      </c>
      <c r="AQ28" s="2383" t="s">
        <v>444</v>
      </c>
      <c r="AR28" s="2277" t="s">
        <v>444</v>
      </c>
      <c r="AS28" s="2383" t="s">
        <v>444</v>
      </c>
      <c r="AT28" s="2277" t="s">
        <v>444</v>
      </c>
      <c r="AU28" s="2383" t="s">
        <v>444</v>
      </c>
      <c r="AV28" s="2277" t="s">
        <v>444</v>
      </c>
      <c r="AW28" s="2383" t="s">
        <v>444</v>
      </c>
      <c r="AX28" s="2277" t="s">
        <v>444</v>
      </c>
      <c r="AY28" s="2383" t="s">
        <v>444</v>
      </c>
      <c r="AZ28" s="2277" t="s">
        <v>444</v>
      </c>
      <c r="BA28" s="2383" t="s">
        <v>444</v>
      </c>
      <c r="BB28" s="2277" t="s">
        <v>444</v>
      </c>
      <c r="BC28" s="2383" t="s">
        <v>444</v>
      </c>
      <c r="BD28" s="2277" t="s">
        <v>444</v>
      </c>
      <c r="BE28" s="2383" t="s">
        <v>444</v>
      </c>
      <c r="BF28" s="2277" t="s">
        <v>444</v>
      </c>
      <c r="BG28" s="2383" t="s">
        <v>444</v>
      </c>
      <c r="BH28" s="2277" t="s">
        <v>444</v>
      </c>
      <c r="BI28" s="2383" t="s">
        <v>444</v>
      </c>
      <c r="BJ28" s="2277" t="s">
        <v>444</v>
      </c>
      <c r="BK28" s="2383" t="s">
        <v>444</v>
      </c>
      <c r="BL28" s="2277" t="s">
        <v>444</v>
      </c>
      <c r="BM28" s="2383" t="s">
        <v>444</v>
      </c>
      <c r="BN28" s="2277" t="s">
        <v>444</v>
      </c>
      <c r="BO28" s="2383" t="s">
        <v>444</v>
      </c>
      <c r="BP28" s="2277" t="s">
        <v>444</v>
      </c>
      <c r="BQ28" s="2383" t="s">
        <v>444</v>
      </c>
      <c r="BR28" s="2277" t="s">
        <v>444</v>
      </c>
      <c r="BS28" s="2383" t="s">
        <v>444</v>
      </c>
      <c r="BT28" s="2277" t="s">
        <v>444</v>
      </c>
      <c r="BU28" s="2383" t="s">
        <v>444</v>
      </c>
      <c r="BV28" s="2277" t="s">
        <v>444</v>
      </c>
      <c r="BW28" s="2383" t="s">
        <v>444</v>
      </c>
      <c r="BX28" s="2277" t="s">
        <v>444</v>
      </c>
      <c r="BY28" s="2383" t="s">
        <v>444</v>
      </c>
      <c r="BZ28" s="2277" t="s">
        <v>444</v>
      </c>
      <c r="CA28" s="2383" t="s">
        <v>444</v>
      </c>
      <c r="CB28" s="2277" t="s">
        <v>444</v>
      </c>
      <c r="CC28" s="2383" t="s">
        <v>444</v>
      </c>
      <c r="CD28" s="2277" t="s">
        <v>444</v>
      </c>
      <c r="CE28" s="2383" t="s">
        <v>444</v>
      </c>
      <c r="CF28" s="2277" t="s">
        <v>444</v>
      </c>
      <c r="CG28" s="2383" t="s">
        <v>444</v>
      </c>
      <c r="CH28" s="2277" t="s">
        <v>444</v>
      </c>
      <c r="CI28" s="952"/>
      <c r="CJ28" s="724"/>
      <c r="CU28" s="679"/>
      <c r="CV28" s="762">
        <v>0</v>
      </c>
    </row>
    <row s="1639" customFormat="1" customHeight="1" ht="18.75" hidden="1">
      <c r="A29" s="2409"/>
      <c r="C29" s="960"/>
      <c r="D29" s="957" t="s">
        <v>1043</v>
      </c>
      <c r="E29" s="557" t="s">
        <v>1036</v>
      </c>
      <c r="F29" s="954" t="s">
        <v>1044</v>
      </c>
      <c r="G29" s="684"/>
      <c r="H29" s="690"/>
      <c r="I29" s="684"/>
      <c r="J29" s="690"/>
      <c r="K29" s="684"/>
      <c r="L29" s="2370"/>
      <c r="M29" s="684"/>
      <c r="N29" s="2370"/>
      <c r="O29" s="684"/>
      <c r="P29" s="2370"/>
      <c r="Q29" s="684"/>
      <c r="R29" s="2370"/>
      <c r="S29" s="684"/>
      <c r="T29" s="2370"/>
      <c r="U29" s="684"/>
      <c r="V29" s="2370"/>
      <c r="W29" s="684"/>
      <c r="X29" s="2370"/>
      <c r="Y29" s="684"/>
      <c r="Z29" s="2370"/>
      <c r="AA29" s="684"/>
      <c r="AB29" s="2370"/>
      <c r="AC29" s="684"/>
      <c r="AD29" s="2370"/>
      <c r="AE29" s="684"/>
      <c r="AF29" s="2370"/>
      <c r="AG29" s="684"/>
      <c r="AH29" s="2370"/>
      <c r="AI29" s="684"/>
      <c r="AJ29" s="2370"/>
      <c r="AK29" s="684"/>
      <c r="AL29" s="2370"/>
      <c r="AM29" s="684"/>
      <c r="AN29" s="2370"/>
      <c r="AO29" s="684"/>
      <c r="AP29" s="2370"/>
      <c r="AQ29" s="684"/>
      <c r="AR29" s="2370"/>
      <c r="AS29" s="684"/>
      <c r="AT29" s="2370"/>
      <c r="AU29" s="684"/>
      <c r="AV29" s="2370"/>
      <c r="AW29" s="684"/>
      <c r="AX29" s="2370"/>
      <c r="AY29" s="684"/>
      <c r="AZ29" s="2370"/>
      <c r="BA29" s="684"/>
      <c r="BB29" s="2370"/>
      <c r="BC29" s="684"/>
      <c r="BD29" s="2370"/>
      <c r="BE29" s="684"/>
      <c r="BF29" s="2370"/>
      <c r="BG29" s="684"/>
      <c r="BH29" s="2370"/>
      <c r="BI29" s="684"/>
      <c r="BJ29" s="2370"/>
      <c r="BK29" s="684"/>
      <c r="BL29" s="2370"/>
      <c r="BM29" s="684"/>
      <c r="BN29" s="2370"/>
      <c r="BO29" s="684"/>
      <c r="BP29" s="2370"/>
      <c r="BQ29" s="684"/>
      <c r="BR29" s="2370"/>
      <c r="BS29" s="684"/>
      <c r="BT29" s="2370"/>
      <c r="BU29" s="684"/>
      <c r="BV29" s="2370"/>
      <c r="BW29" s="684"/>
      <c r="BX29" s="2370"/>
      <c r="BY29" s="684"/>
      <c r="BZ29" s="2370"/>
      <c r="CA29" s="684"/>
      <c r="CB29" s="2370"/>
      <c r="CC29" s="684"/>
      <c r="CD29" s="2370"/>
      <c r="CE29" s="684"/>
      <c r="CF29" s="2370"/>
      <c r="CG29" s="684"/>
      <c r="CH29" s="2370"/>
      <c r="CI29" s="952"/>
      <c r="CJ29" s="724"/>
      <c r="CU29" s="679"/>
      <c r="CV29" s="762">
        <v>0</v>
      </c>
    </row>
    <row s="1639" customFormat="1" customHeight="1" ht="18.75" hidden="1">
      <c r="A30" s="2409"/>
      <c r="C30" s="960"/>
      <c r="D30" s="957" t="s">
        <v>1045</v>
      </c>
      <c r="E30" s="557" t="s">
        <v>1046</v>
      </c>
      <c r="F30" s="954" t="s">
        <v>1047</v>
      </c>
      <c r="G30" s="684"/>
      <c r="H30" s="690"/>
      <c r="I30" s="684"/>
      <c r="J30" s="690"/>
      <c r="K30" s="684"/>
      <c r="L30" s="2370"/>
      <c r="M30" s="684"/>
      <c r="N30" s="2370"/>
      <c r="O30" s="684"/>
      <c r="P30" s="2370"/>
      <c r="Q30" s="684"/>
      <c r="R30" s="2370"/>
      <c r="S30" s="684"/>
      <c r="T30" s="2370"/>
      <c r="U30" s="684"/>
      <c r="V30" s="2370"/>
      <c r="W30" s="684"/>
      <c r="X30" s="2370"/>
      <c r="Y30" s="684"/>
      <c r="Z30" s="2370"/>
      <c r="AA30" s="684"/>
      <c r="AB30" s="2370"/>
      <c r="AC30" s="684"/>
      <c r="AD30" s="2370"/>
      <c r="AE30" s="684"/>
      <c r="AF30" s="2370"/>
      <c r="AG30" s="684"/>
      <c r="AH30" s="2370"/>
      <c r="AI30" s="684"/>
      <c r="AJ30" s="2370"/>
      <c r="AK30" s="684"/>
      <c r="AL30" s="2370"/>
      <c r="AM30" s="684"/>
      <c r="AN30" s="2370"/>
      <c r="AO30" s="684"/>
      <c r="AP30" s="2370"/>
      <c r="AQ30" s="684"/>
      <c r="AR30" s="2370"/>
      <c r="AS30" s="684"/>
      <c r="AT30" s="2370"/>
      <c r="AU30" s="684"/>
      <c r="AV30" s="2370"/>
      <c r="AW30" s="684"/>
      <c r="AX30" s="2370"/>
      <c r="AY30" s="684"/>
      <c r="AZ30" s="2370"/>
      <c r="BA30" s="684"/>
      <c r="BB30" s="2370"/>
      <c r="BC30" s="684"/>
      <c r="BD30" s="2370"/>
      <c r="BE30" s="684"/>
      <c r="BF30" s="2370"/>
      <c r="BG30" s="684"/>
      <c r="BH30" s="2370"/>
      <c r="BI30" s="684"/>
      <c r="BJ30" s="2370"/>
      <c r="BK30" s="684"/>
      <c r="BL30" s="2370"/>
      <c r="BM30" s="684"/>
      <c r="BN30" s="2370"/>
      <c r="BO30" s="684"/>
      <c r="BP30" s="2370"/>
      <c r="BQ30" s="684"/>
      <c r="BR30" s="2370"/>
      <c r="BS30" s="684"/>
      <c r="BT30" s="2370"/>
      <c r="BU30" s="684"/>
      <c r="BV30" s="2370"/>
      <c r="BW30" s="684"/>
      <c r="BX30" s="2370"/>
      <c r="BY30" s="684"/>
      <c r="BZ30" s="2370"/>
      <c r="CA30" s="684"/>
      <c r="CB30" s="2370"/>
      <c r="CC30" s="684"/>
      <c r="CD30" s="2370"/>
      <c r="CE30" s="684"/>
      <c r="CF30" s="2370"/>
      <c r="CG30" s="684"/>
      <c r="CH30" s="2370"/>
      <c r="CI30" s="952"/>
      <c r="CJ30" s="724"/>
      <c r="CU30" s="679"/>
      <c r="CV30" s="762">
        <v>0</v>
      </c>
    </row>
    <row customHeight="1" ht="126.75" hidden="1">
      <c r="A31" s="2409"/>
      <c r="D31" s="957" t="s">
        <v>120</v>
      </c>
      <c r="E31" s="283" t="s">
        <v>1048</v>
      </c>
      <c r="F31" s="664" t="s">
        <v>696</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561"/>
      <c r="AN31" s="666"/>
      <c r="AO31" s="561"/>
      <c r="AP31" s="666"/>
      <c r="AQ31" s="561"/>
      <c r="AR31" s="666"/>
      <c r="AS31" s="561"/>
      <c r="AT31" s="666"/>
      <c r="AU31" s="561"/>
      <c r="AV31" s="666"/>
      <c r="AW31" s="561"/>
      <c r="AX31" s="666"/>
      <c r="AY31" s="561"/>
      <c r="AZ31" s="666"/>
      <c r="BA31" s="561"/>
      <c r="BB31" s="666"/>
      <c r="BC31" s="561"/>
      <c r="BD31" s="666"/>
      <c r="BE31" s="561"/>
      <c r="BF31" s="666"/>
      <c r="BG31" s="561"/>
      <c r="BH31" s="666"/>
      <c r="BI31" s="561"/>
      <c r="BJ31" s="666"/>
      <c r="BK31" s="561"/>
      <c r="BL31" s="666"/>
      <c r="BM31" s="561"/>
      <c r="BN31" s="666"/>
      <c r="BO31" s="561"/>
      <c r="BP31" s="666"/>
      <c r="BQ31" s="561"/>
      <c r="BR31" s="666"/>
      <c r="BS31" s="561"/>
      <c r="BT31" s="666"/>
      <c r="BU31" s="561"/>
      <c r="BV31" s="666"/>
      <c r="BW31" s="561"/>
      <c r="BX31" s="666"/>
      <c r="BY31" s="561"/>
      <c r="BZ31" s="666"/>
      <c r="CA31" s="561"/>
      <c r="CB31" s="666"/>
      <c r="CC31" s="561"/>
      <c r="CD31" s="666"/>
      <c r="CE31" s="561"/>
      <c r="CF31" s="666"/>
      <c r="CG31" s="561"/>
      <c r="CH31" s="666"/>
      <c r="CI31" s="293" t="s">
        <v>1049</v>
      </c>
      <c r="CJ31" s="724"/>
      <c r="CV31" s="509">
        <v>0</v>
      </c>
    </row>
    <row customHeight="1" ht="56.25" hidden="1">
      <c r="A32" s="2409"/>
      <c r="D32" s="957" t="s">
        <v>91</v>
      </c>
      <c r="E32" s="283" t="s">
        <v>1050</v>
      </c>
      <c r="F32" s="543" t="s">
        <v>1020</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561"/>
      <c r="AN32" s="666"/>
      <c r="AO32" s="561"/>
      <c r="AP32" s="666"/>
      <c r="AQ32" s="561"/>
      <c r="AR32" s="666"/>
      <c r="AS32" s="561"/>
      <c r="AT32" s="666"/>
      <c r="AU32" s="561"/>
      <c r="AV32" s="666"/>
      <c r="AW32" s="561"/>
      <c r="AX32" s="666"/>
      <c r="AY32" s="561"/>
      <c r="AZ32" s="666"/>
      <c r="BA32" s="561"/>
      <c r="BB32" s="666"/>
      <c r="BC32" s="561"/>
      <c r="BD32" s="666"/>
      <c r="BE32" s="561"/>
      <c r="BF32" s="666"/>
      <c r="BG32" s="561"/>
      <c r="BH32" s="666"/>
      <c r="BI32" s="561"/>
      <c r="BJ32" s="666"/>
      <c r="BK32" s="561"/>
      <c r="BL32" s="666"/>
      <c r="BM32" s="561"/>
      <c r="BN32" s="666"/>
      <c r="BO32" s="561"/>
      <c r="BP32" s="666"/>
      <c r="BQ32" s="561"/>
      <c r="BR32" s="666"/>
      <c r="BS32" s="561"/>
      <c r="BT32" s="666"/>
      <c r="BU32" s="561"/>
      <c r="BV32" s="666"/>
      <c r="BW32" s="561"/>
      <c r="BX32" s="666"/>
      <c r="BY32" s="561"/>
      <c r="BZ32" s="666"/>
      <c r="CA32" s="561"/>
      <c r="CB32" s="666"/>
      <c r="CC32" s="561"/>
      <c r="CD32" s="666"/>
      <c r="CE32" s="561"/>
      <c r="CF32" s="666"/>
      <c r="CG32" s="561"/>
      <c r="CH32" s="666"/>
      <c r="CI32" s="293" t="s">
        <v>1051</v>
      </c>
      <c r="CJ32" s="724"/>
      <c r="CV32" s="509">
        <v>0</v>
      </c>
    </row>
    <row customHeight="1" ht="11.25" hidden="1">
      <c r="A33" s="2409"/>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068"/>
      <c r="CB33" s="1068"/>
      <c r="CC33" s="1068"/>
      <c r="CD33" s="1068"/>
      <c r="CE33" s="1068"/>
      <c r="CF33" s="1068"/>
      <c r="CG33" s="1068"/>
      <c r="CH33" s="1068"/>
      <c r="CI33" s="185"/>
      <c r="CV33" s="509">
        <v>0</v>
      </c>
    </row>
    <row customHeight="1" ht="12.75" hidden="1">
      <c r="A34" s="2409"/>
      <c r="D34" s="69">
        <v>1</v>
      </c>
      <c r="E34" s="339" t="s">
        <v>1052</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39"/>
      <c r="BN34" s="1639"/>
      <c r="BO34" s="1639"/>
      <c r="BP34" s="1639"/>
      <c r="BQ34" s="1639"/>
      <c r="BR34" s="1639"/>
      <c r="BS34" s="1639"/>
      <c r="BT34" s="1639"/>
      <c r="BU34" s="1639"/>
      <c r="BV34" s="1639"/>
      <c r="BW34" s="1639"/>
      <c r="BX34" s="1639"/>
      <c r="BY34" s="1639"/>
      <c r="BZ34" s="1639"/>
      <c r="CA34" s="1639"/>
      <c r="CB34" s="1639"/>
      <c r="CC34" s="1639"/>
      <c r="CD34" s="1639"/>
      <c r="CE34" s="1639"/>
      <c r="CF34" s="1639"/>
      <c r="CG34" s="1639"/>
      <c r="CH34" s="1639"/>
      <c r="CV34" s="509">
        <v>0</v>
      </c>
    </row>
    <row customHeight="1" ht="11.25" hidden="1">
      <c r="A35" s="2409"/>
      <c r="D35" s="373"/>
      <c r="E35" s="339" t="s">
        <v>1053</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639"/>
      <c r="BW35" s="1639"/>
      <c r="BX35" s="1639"/>
      <c r="BY35" s="1639"/>
      <c r="BZ35" s="1639"/>
      <c r="CA35" s="1639"/>
      <c r="CB35" s="1639"/>
      <c r="CC35" s="1639"/>
      <c r="CD35" s="1639"/>
      <c r="CE35" s="1639"/>
      <c r="CF35" s="1639"/>
      <c r="CG35" s="1639"/>
      <c r="CH35" s="1639"/>
      <c r="CV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639"/>
      <c r="CG36" s="1639"/>
      <c r="CH36" s="1639"/>
      <c r="CV36" s="513">
        <v>11</v>
      </c>
    </row>
    <row s="1639" customFormat="1" customHeight="1" ht="22.5">
      <c r="A37" s="2409" t="s">
        <v>1054</v>
      </c>
      <c r="B37" s="515"/>
      <c r="D37" s="957">
        <v>1</v>
      </c>
      <c r="E37" s="711" t="s">
        <v>1055</v>
      </c>
      <c r="F37" s="664" t="s">
        <v>1010</v>
      </c>
      <c r="G37" s="561"/>
      <c r="H37" s="523"/>
      <c r="I37" s="561">
        <v>0</v>
      </c>
      <c r="J37" s="523"/>
      <c r="K37" s="561">
        <v>0</v>
      </c>
      <c r="L37" s="523"/>
      <c r="M37" s="561">
        <v>0</v>
      </c>
      <c r="N37" s="523"/>
      <c r="O37" s="561">
        <v>0</v>
      </c>
      <c r="P37" s="523"/>
      <c r="Q37" s="561">
        <v>0</v>
      </c>
      <c r="R37" s="523"/>
      <c r="S37" s="561">
        <v>0</v>
      </c>
      <c r="T37" s="523"/>
      <c r="U37" s="561">
        <v>24</v>
      </c>
      <c r="V37" s="523"/>
      <c r="W37" s="561">
        <v>3</v>
      </c>
      <c r="X37" s="523"/>
      <c r="Y37" s="561">
        <v>0</v>
      </c>
      <c r="Z37" s="523"/>
      <c r="AA37" s="561">
        <v>10</v>
      </c>
      <c r="AB37" s="523"/>
      <c r="AC37" s="561">
        <v>0</v>
      </c>
      <c r="AD37" s="523"/>
      <c r="AE37" s="561">
        <v>0</v>
      </c>
      <c r="AF37" s="523"/>
      <c r="AG37" s="561">
        <v>0</v>
      </c>
      <c r="AH37" s="523"/>
      <c r="AI37" s="561">
        <v>13</v>
      </c>
      <c r="AJ37" s="523"/>
      <c r="AK37" s="561">
        <v>8</v>
      </c>
      <c r="AL37" s="523"/>
      <c r="AM37" s="561">
        <v>81</v>
      </c>
      <c r="AN37" s="523"/>
      <c r="AO37" s="561">
        <v>46</v>
      </c>
      <c r="AP37" s="523"/>
      <c r="AQ37" s="561">
        <v>0</v>
      </c>
      <c r="AR37" s="523"/>
      <c r="AS37" s="561">
        <v>10</v>
      </c>
      <c r="AT37" s="523"/>
      <c r="AU37" s="561">
        <v>0</v>
      </c>
      <c r="AV37" s="523"/>
      <c r="AW37" s="561">
        <v>15</v>
      </c>
      <c r="AX37" s="523"/>
      <c r="AY37" s="561">
        <v>0</v>
      </c>
      <c r="AZ37" s="523"/>
      <c r="BA37" s="561">
        <v>0</v>
      </c>
      <c r="BB37" s="523"/>
      <c r="BC37" s="561">
        <v>0</v>
      </c>
      <c r="BD37" s="523"/>
      <c r="BE37" s="561">
        <v>0</v>
      </c>
      <c r="BF37" s="523"/>
      <c r="BG37" s="561">
        <v>0</v>
      </c>
      <c r="BH37" s="523"/>
      <c r="BI37" s="561">
        <v>0</v>
      </c>
      <c r="BJ37" s="523"/>
      <c r="BK37" s="561">
        <v>0</v>
      </c>
      <c r="BL37" s="523"/>
      <c r="BM37" s="561">
        <v>1</v>
      </c>
      <c r="BN37" s="523"/>
      <c r="BO37" s="561">
        <v>0</v>
      </c>
      <c r="BP37" s="523"/>
      <c r="BQ37" s="561">
        <v>0</v>
      </c>
      <c r="BR37" s="523"/>
      <c r="BS37" s="561">
        <v>0</v>
      </c>
      <c r="BT37" s="523"/>
      <c r="BU37" s="561">
        <v>0</v>
      </c>
      <c r="BV37" s="523"/>
      <c r="BW37" s="561">
        <v>0</v>
      </c>
      <c r="BX37" s="523"/>
      <c r="BY37" s="561">
        <v>0</v>
      </c>
      <c r="BZ37" s="523"/>
      <c r="CA37" s="561">
        <v>0</v>
      </c>
      <c r="CB37" s="523"/>
      <c r="CC37" s="561">
        <v>0</v>
      </c>
      <c r="CD37" s="523"/>
      <c r="CE37" s="561">
        <v>0</v>
      </c>
      <c r="CF37" s="523"/>
      <c r="CG37" s="561">
        <v>0</v>
      </c>
      <c r="CH37" s="523"/>
      <c r="CI37" s="293" t="s">
        <v>1056</v>
      </c>
      <c r="CV37" s="762">
        <v>0</v>
      </c>
    </row>
    <row s="1639" customFormat="1" customHeight="1" ht="22.5">
      <c r="A38" s="2409"/>
      <c r="B38" s="515"/>
      <c r="D38" s="673" t="s">
        <v>102</v>
      </c>
      <c r="E38" s="1036" t="s">
        <v>1057</v>
      </c>
      <c r="F38" s="1040" t="s">
        <v>684</v>
      </c>
      <c r="G38" s="1040" t="s">
        <v>684</v>
      </c>
      <c r="H38" s="1034"/>
      <c r="I38" s="1040" t="s">
        <v>684</v>
      </c>
      <c r="J38" s="1034"/>
      <c r="K38" s="1040" t="s">
        <v>684</v>
      </c>
      <c r="L38" s="1034"/>
      <c r="M38" s="1040" t="s">
        <v>684</v>
      </c>
      <c r="N38" s="1034"/>
      <c r="O38" s="1040" t="s">
        <v>684</v>
      </c>
      <c r="P38" s="1034"/>
      <c r="Q38" s="1040" t="s">
        <v>684</v>
      </c>
      <c r="R38" s="1034"/>
      <c r="S38" s="1040" t="s">
        <v>684</v>
      </c>
      <c r="T38" s="1034"/>
      <c r="U38" s="1040" t="s">
        <v>684</v>
      </c>
      <c r="V38" s="1034"/>
      <c r="W38" s="1040" t="s">
        <v>684</v>
      </c>
      <c r="X38" s="1034"/>
      <c r="Y38" s="1040" t="s">
        <v>684</v>
      </c>
      <c r="Z38" s="1034"/>
      <c r="AA38" s="1040" t="s">
        <v>684</v>
      </c>
      <c r="AB38" s="1034"/>
      <c r="AC38" s="1040" t="s">
        <v>684</v>
      </c>
      <c r="AD38" s="1034"/>
      <c r="AE38" s="1040" t="s">
        <v>684</v>
      </c>
      <c r="AF38" s="1034"/>
      <c r="AG38" s="1040" t="s">
        <v>684</v>
      </c>
      <c r="AH38" s="1034"/>
      <c r="AI38" s="1040" t="s">
        <v>684</v>
      </c>
      <c r="AJ38" s="1034"/>
      <c r="AK38" s="1040" t="s">
        <v>684</v>
      </c>
      <c r="AL38" s="1034"/>
      <c r="AM38" s="1040" t="s">
        <v>684</v>
      </c>
      <c r="AN38" s="1034"/>
      <c r="AO38" s="1040" t="s">
        <v>684</v>
      </c>
      <c r="AP38" s="1034"/>
      <c r="AQ38" s="1040" t="s">
        <v>684</v>
      </c>
      <c r="AR38" s="1034"/>
      <c r="AS38" s="1040" t="s">
        <v>684</v>
      </c>
      <c r="AT38" s="1034"/>
      <c r="AU38" s="1040" t="s">
        <v>684</v>
      </c>
      <c r="AV38" s="1034"/>
      <c r="AW38" s="1040" t="s">
        <v>684</v>
      </c>
      <c r="AX38" s="1034"/>
      <c r="AY38" s="1040" t="s">
        <v>684</v>
      </c>
      <c r="AZ38" s="1034"/>
      <c r="BA38" s="1040" t="s">
        <v>684</v>
      </c>
      <c r="BB38" s="1034"/>
      <c r="BC38" s="1040" t="s">
        <v>684</v>
      </c>
      <c r="BD38" s="1034"/>
      <c r="BE38" s="1040" t="s">
        <v>684</v>
      </c>
      <c r="BF38" s="1034"/>
      <c r="BG38" s="1040" t="s">
        <v>684</v>
      </c>
      <c r="BH38" s="1034"/>
      <c r="BI38" s="1040" t="s">
        <v>684</v>
      </c>
      <c r="BJ38" s="1034"/>
      <c r="BK38" s="1040" t="s">
        <v>684</v>
      </c>
      <c r="BL38" s="1034"/>
      <c r="BM38" s="1040" t="s">
        <v>684</v>
      </c>
      <c r="BN38" s="1034"/>
      <c r="BO38" s="1040" t="s">
        <v>684</v>
      </c>
      <c r="BP38" s="1034"/>
      <c r="BQ38" s="1040" t="s">
        <v>684</v>
      </c>
      <c r="BR38" s="1034"/>
      <c r="BS38" s="1040" t="s">
        <v>684</v>
      </c>
      <c r="BT38" s="1034"/>
      <c r="BU38" s="1040" t="s">
        <v>684</v>
      </c>
      <c r="BV38" s="1034"/>
      <c r="BW38" s="1040" t="s">
        <v>684</v>
      </c>
      <c r="BX38" s="1034"/>
      <c r="BY38" s="1040" t="s">
        <v>684</v>
      </c>
      <c r="BZ38" s="1034"/>
      <c r="CA38" s="1040" t="s">
        <v>684</v>
      </c>
      <c r="CB38" s="1034"/>
      <c r="CC38" s="1040" t="s">
        <v>684</v>
      </c>
      <c r="CD38" s="1034"/>
      <c r="CE38" s="1040" t="s">
        <v>684</v>
      </c>
      <c r="CF38" s="1034"/>
      <c r="CG38" s="1040" t="s">
        <v>684</v>
      </c>
      <c r="CH38" s="1034"/>
      <c r="CI38" s="1035"/>
      <c r="CV38" s="762">
        <v>0</v>
      </c>
    </row>
    <row s="1639" customFormat="1" customHeight="1" ht="33.75">
      <c r="A39" s="2409"/>
      <c r="B39" s="515"/>
      <c r="D39" s="669" t="s">
        <v>894</v>
      </c>
      <c r="E39" s="727" t="s">
        <v>1058</v>
      </c>
      <c r="F39" s="664" t="s">
        <v>1059</v>
      </c>
      <c r="G39" s="672"/>
      <c r="H39" s="1027"/>
      <c r="I39" s="672">
        <v>0</v>
      </c>
      <c r="J39" s="1027"/>
      <c r="K39" s="1173">
        <v>0</v>
      </c>
      <c r="L39" s="1027"/>
      <c r="M39" s="1173">
        <v>0</v>
      </c>
      <c r="N39" s="1027"/>
      <c r="O39" s="1173">
        <v>0</v>
      </c>
      <c r="P39" s="1027"/>
      <c r="Q39" s="1173">
        <v>0</v>
      </c>
      <c r="R39" s="1027"/>
      <c r="S39" s="1173">
        <v>0</v>
      </c>
      <c r="T39" s="1027"/>
      <c r="U39" s="1173">
        <v>0</v>
      </c>
      <c r="V39" s="1027"/>
      <c r="W39" s="1173">
        <v>0</v>
      </c>
      <c r="X39" s="1027"/>
      <c r="Y39" s="1173">
        <v>0</v>
      </c>
      <c r="Z39" s="1027"/>
      <c r="AA39" s="1173">
        <v>0</v>
      </c>
      <c r="AB39" s="1027"/>
      <c r="AC39" s="1173">
        <v>0</v>
      </c>
      <c r="AD39" s="1027"/>
      <c r="AE39" s="1173">
        <v>0</v>
      </c>
      <c r="AF39" s="1027"/>
      <c r="AG39" s="1173">
        <v>0</v>
      </c>
      <c r="AH39" s="1027"/>
      <c r="AI39" s="1173">
        <v>0</v>
      </c>
      <c r="AJ39" s="1027"/>
      <c r="AK39" s="1173">
        <v>0</v>
      </c>
      <c r="AL39" s="1027"/>
      <c r="AM39" s="1173">
        <v>0</v>
      </c>
      <c r="AN39" s="1027"/>
      <c r="AO39" s="1173">
        <v>0</v>
      </c>
      <c r="AP39" s="1027"/>
      <c r="AQ39" s="1173">
        <v>0</v>
      </c>
      <c r="AR39" s="1027"/>
      <c r="AS39" s="1173">
        <v>0</v>
      </c>
      <c r="AT39" s="1027"/>
      <c r="AU39" s="1173">
        <v>0</v>
      </c>
      <c r="AV39" s="1027"/>
      <c r="AW39" s="1173">
        <v>0</v>
      </c>
      <c r="AX39" s="1027"/>
      <c r="AY39" s="1173">
        <v>0</v>
      </c>
      <c r="AZ39" s="1027"/>
      <c r="BA39" s="1173">
        <v>0</v>
      </c>
      <c r="BB39" s="1027"/>
      <c r="BC39" s="1173">
        <v>0</v>
      </c>
      <c r="BD39" s="1027"/>
      <c r="BE39" s="1173">
        <v>0</v>
      </c>
      <c r="BF39" s="1027"/>
      <c r="BG39" s="1173">
        <v>0</v>
      </c>
      <c r="BH39" s="1027"/>
      <c r="BI39" s="1173">
        <v>0</v>
      </c>
      <c r="BJ39" s="1027"/>
      <c r="BK39" s="1173">
        <v>0</v>
      </c>
      <c r="BL39" s="1027"/>
      <c r="BM39" s="1173">
        <v>0</v>
      </c>
      <c r="BN39" s="1027"/>
      <c r="BO39" s="1173">
        <v>0</v>
      </c>
      <c r="BP39" s="1027"/>
      <c r="BQ39" s="1173">
        <v>0</v>
      </c>
      <c r="BR39" s="1027"/>
      <c r="BS39" s="1173">
        <v>0</v>
      </c>
      <c r="BT39" s="1027"/>
      <c r="BU39" s="1173">
        <v>0</v>
      </c>
      <c r="BV39" s="1027"/>
      <c r="BW39" s="1173">
        <v>0</v>
      </c>
      <c r="BX39" s="1027"/>
      <c r="BY39" s="1173">
        <v>0</v>
      </c>
      <c r="BZ39" s="1027"/>
      <c r="CA39" s="1173">
        <v>0</v>
      </c>
      <c r="CB39" s="1027"/>
      <c r="CC39" s="1173">
        <v>0</v>
      </c>
      <c r="CD39" s="1027"/>
      <c r="CE39" s="1173">
        <v>0</v>
      </c>
      <c r="CF39" s="1027"/>
      <c r="CG39" s="1173">
        <v>0</v>
      </c>
      <c r="CH39" s="1027"/>
      <c r="CI39" s="293" t="s">
        <v>1060</v>
      </c>
      <c r="CV39" s="762">
        <v>0</v>
      </c>
    </row>
    <row s="1639" customFormat="1" customHeight="1" ht="33.75">
      <c r="A40" s="2409"/>
      <c r="B40" s="515"/>
      <c r="D40" s="669" t="s">
        <v>897</v>
      </c>
      <c r="E40" s="727" t="s">
        <v>1061</v>
      </c>
      <c r="F40" s="1031" t="s">
        <v>1062</v>
      </c>
      <c r="G40" s="745"/>
      <c r="H40" s="1027"/>
      <c r="I40" s="745">
        <v>0</v>
      </c>
      <c r="J40" s="1027"/>
      <c r="K40" s="745">
        <v>0</v>
      </c>
      <c r="L40" s="1027"/>
      <c r="M40" s="745">
        <v>0</v>
      </c>
      <c r="N40" s="1027"/>
      <c r="O40" s="745">
        <v>0</v>
      </c>
      <c r="P40" s="1027"/>
      <c r="Q40" s="745">
        <v>0</v>
      </c>
      <c r="R40" s="1027"/>
      <c r="S40" s="745">
        <v>0</v>
      </c>
      <c r="T40" s="1027"/>
      <c r="U40" s="745">
        <v>0</v>
      </c>
      <c r="V40" s="1027"/>
      <c r="W40" s="745">
        <v>0</v>
      </c>
      <c r="X40" s="1027"/>
      <c r="Y40" s="745">
        <v>0</v>
      </c>
      <c r="Z40" s="1027"/>
      <c r="AA40" s="745">
        <v>0</v>
      </c>
      <c r="AB40" s="1027"/>
      <c r="AC40" s="745">
        <v>0</v>
      </c>
      <c r="AD40" s="1027"/>
      <c r="AE40" s="745">
        <v>0</v>
      </c>
      <c r="AF40" s="1027"/>
      <c r="AG40" s="745">
        <v>0</v>
      </c>
      <c r="AH40" s="1027"/>
      <c r="AI40" s="745">
        <v>0</v>
      </c>
      <c r="AJ40" s="1027"/>
      <c r="AK40" s="745">
        <v>0</v>
      </c>
      <c r="AL40" s="1027"/>
      <c r="AM40" s="745">
        <v>0</v>
      </c>
      <c r="AN40" s="1027"/>
      <c r="AO40" s="745">
        <v>0</v>
      </c>
      <c r="AP40" s="1027"/>
      <c r="AQ40" s="745">
        <v>0</v>
      </c>
      <c r="AR40" s="1027"/>
      <c r="AS40" s="745">
        <v>0</v>
      </c>
      <c r="AT40" s="1027"/>
      <c r="AU40" s="745">
        <v>0</v>
      </c>
      <c r="AV40" s="1027"/>
      <c r="AW40" s="745">
        <v>0</v>
      </c>
      <c r="AX40" s="1027"/>
      <c r="AY40" s="745">
        <v>0</v>
      </c>
      <c r="AZ40" s="1027"/>
      <c r="BA40" s="745">
        <v>0</v>
      </c>
      <c r="BB40" s="1027"/>
      <c r="BC40" s="745">
        <v>0</v>
      </c>
      <c r="BD40" s="1027"/>
      <c r="BE40" s="745">
        <v>0</v>
      </c>
      <c r="BF40" s="1027"/>
      <c r="BG40" s="745">
        <v>0</v>
      </c>
      <c r="BH40" s="1027"/>
      <c r="BI40" s="745">
        <v>0</v>
      </c>
      <c r="BJ40" s="1027"/>
      <c r="BK40" s="745">
        <v>0</v>
      </c>
      <c r="BL40" s="1027"/>
      <c r="BM40" s="745">
        <v>0</v>
      </c>
      <c r="BN40" s="1027"/>
      <c r="BO40" s="745">
        <v>0</v>
      </c>
      <c r="BP40" s="1027"/>
      <c r="BQ40" s="745">
        <v>0</v>
      </c>
      <c r="BR40" s="1027"/>
      <c r="BS40" s="745">
        <v>0</v>
      </c>
      <c r="BT40" s="1027"/>
      <c r="BU40" s="745">
        <v>0</v>
      </c>
      <c r="BV40" s="1027"/>
      <c r="BW40" s="745">
        <v>0</v>
      </c>
      <c r="BX40" s="1027"/>
      <c r="BY40" s="745">
        <v>0</v>
      </c>
      <c r="BZ40" s="1027"/>
      <c r="CA40" s="745">
        <v>0</v>
      </c>
      <c r="CB40" s="1027"/>
      <c r="CC40" s="745">
        <v>0</v>
      </c>
      <c r="CD40" s="1027"/>
      <c r="CE40" s="745">
        <v>0</v>
      </c>
      <c r="CF40" s="1027"/>
      <c r="CG40" s="745">
        <v>0</v>
      </c>
      <c r="CH40" s="1027"/>
      <c r="CI40" s="293" t="s">
        <v>1063</v>
      </c>
      <c r="CV40" s="762">
        <v>0</v>
      </c>
    </row>
    <row s="1639" customFormat="1" customHeight="1" ht="22.5">
      <c r="A41" s="2409"/>
      <c r="B41" s="515"/>
      <c r="D41" s="669" t="s">
        <v>89</v>
      </c>
      <c r="E41" s="726" t="s">
        <v>1064</v>
      </c>
      <c r="F41" s="664" t="s">
        <v>684</v>
      </c>
      <c r="G41" s="664" t="s">
        <v>684</v>
      </c>
      <c r="H41" s="1028"/>
      <c r="I41" s="664" t="s">
        <v>684</v>
      </c>
      <c r="J41" s="1028"/>
      <c r="K41" s="2121" t="s">
        <v>684</v>
      </c>
      <c r="L41" s="1028"/>
      <c r="M41" s="2121" t="s">
        <v>684</v>
      </c>
      <c r="N41" s="1028"/>
      <c r="O41" s="2121" t="s">
        <v>684</v>
      </c>
      <c r="P41" s="1028"/>
      <c r="Q41" s="2121" t="s">
        <v>684</v>
      </c>
      <c r="R41" s="1028"/>
      <c r="S41" s="2121" t="s">
        <v>684</v>
      </c>
      <c r="T41" s="1028"/>
      <c r="U41" s="2121" t="s">
        <v>684</v>
      </c>
      <c r="V41" s="1028"/>
      <c r="W41" s="2121" t="s">
        <v>684</v>
      </c>
      <c r="X41" s="1028"/>
      <c r="Y41" s="2121" t="s">
        <v>684</v>
      </c>
      <c r="Z41" s="1028"/>
      <c r="AA41" s="2121" t="s">
        <v>684</v>
      </c>
      <c r="AB41" s="1028"/>
      <c r="AC41" s="2121" t="s">
        <v>684</v>
      </c>
      <c r="AD41" s="1028"/>
      <c r="AE41" s="2121" t="s">
        <v>684</v>
      </c>
      <c r="AF41" s="1028"/>
      <c r="AG41" s="2121" t="s">
        <v>684</v>
      </c>
      <c r="AH41" s="1028"/>
      <c r="AI41" s="2121" t="s">
        <v>684</v>
      </c>
      <c r="AJ41" s="1028"/>
      <c r="AK41" s="2121" t="s">
        <v>684</v>
      </c>
      <c r="AL41" s="1028"/>
      <c r="AM41" s="2121" t="s">
        <v>684</v>
      </c>
      <c r="AN41" s="1028"/>
      <c r="AO41" s="2121" t="s">
        <v>684</v>
      </c>
      <c r="AP41" s="1028"/>
      <c r="AQ41" s="2121" t="s">
        <v>684</v>
      </c>
      <c r="AR41" s="1028"/>
      <c r="AS41" s="2121" t="s">
        <v>684</v>
      </c>
      <c r="AT41" s="1028"/>
      <c r="AU41" s="2121" t="s">
        <v>684</v>
      </c>
      <c r="AV41" s="1028"/>
      <c r="AW41" s="2121" t="s">
        <v>684</v>
      </c>
      <c r="AX41" s="1028"/>
      <c r="AY41" s="2121" t="s">
        <v>684</v>
      </c>
      <c r="AZ41" s="1028"/>
      <c r="BA41" s="2121" t="s">
        <v>684</v>
      </c>
      <c r="BB41" s="1028"/>
      <c r="BC41" s="2121" t="s">
        <v>684</v>
      </c>
      <c r="BD41" s="1028"/>
      <c r="BE41" s="2121" t="s">
        <v>684</v>
      </c>
      <c r="BF41" s="1028"/>
      <c r="BG41" s="2121" t="s">
        <v>684</v>
      </c>
      <c r="BH41" s="1028"/>
      <c r="BI41" s="2121" t="s">
        <v>684</v>
      </c>
      <c r="BJ41" s="1028"/>
      <c r="BK41" s="2121" t="s">
        <v>684</v>
      </c>
      <c r="BL41" s="1028"/>
      <c r="BM41" s="2121" t="s">
        <v>684</v>
      </c>
      <c r="BN41" s="1028"/>
      <c r="BO41" s="2121" t="s">
        <v>684</v>
      </c>
      <c r="BP41" s="1028"/>
      <c r="BQ41" s="2121" t="s">
        <v>684</v>
      </c>
      <c r="BR41" s="1028"/>
      <c r="BS41" s="2121" t="s">
        <v>684</v>
      </c>
      <c r="BT41" s="1028"/>
      <c r="BU41" s="2121" t="s">
        <v>684</v>
      </c>
      <c r="BV41" s="1028"/>
      <c r="BW41" s="2121" t="s">
        <v>684</v>
      </c>
      <c r="BX41" s="1028"/>
      <c r="BY41" s="2121" t="s">
        <v>684</v>
      </c>
      <c r="BZ41" s="1028"/>
      <c r="CA41" s="2121" t="s">
        <v>684</v>
      </c>
      <c r="CB41" s="1028"/>
      <c r="CC41" s="2121" t="s">
        <v>684</v>
      </c>
      <c r="CD41" s="1028"/>
      <c r="CE41" s="2121" t="s">
        <v>684</v>
      </c>
      <c r="CF41" s="1028"/>
      <c r="CG41" s="2121" t="s">
        <v>684</v>
      </c>
      <c r="CH41" s="1028"/>
      <c r="CI41" s="306"/>
      <c r="CV41" s="762">
        <v>0</v>
      </c>
    </row>
    <row s="1639" customFormat="1" customHeight="1" ht="45">
      <c r="A42" s="2409"/>
      <c r="B42" s="515"/>
      <c r="D42" s="669" t="s">
        <v>462</v>
      </c>
      <c r="E42" s="727" t="s">
        <v>1065</v>
      </c>
      <c r="F42" s="664" t="s">
        <v>696</v>
      </c>
      <c r="G42" s="561"/>
      <c r="H42" s="1028"/>
      <c r="I42" s="561">
        <v>0</v>
      </c>
      <c r="J42" s="1028"/>
      <c r="K42" s="561">
        <v>0</v>
      </c>
      <c r="L42" s="1028"/>
      <c r="M42" s="561">
        <v>0</v>
      </c>
      <c r="N42" s="1028"/>
      <c r="O42" s="561">
        <v>0</v>
      </c>
      <c r="P42" s="1028"/>
      <c r="Q42" s="561">
        <v>0</v>
      </c>
      <c r="R42" s="1028"/>
      <c r="S42" s="561">
        <v>0</v>
      </c>
      <c r="T42" s="1028"/>
      <c r="U42" s="561">
        <v>0</v>
      </c>
      <c r="V42" s="1028"/>
      <c r="W42" s="561">
        <v>0</v>
      </c>
      <c r="X42" s="1028"/>
      <c r="Y42" s="561">
        <v>0</v>
      </c>
      <c r="Z42" s="1028"/>
      <c r="AA42" s="561">
        <v>0</v>
      </c>
      <c r="AB42" s="1028"/>
      <c r="AC42" s="561">
        <v>0</v>
      </c>
      <c r="AD42" s="1028"/>
      <c r="AE42" s="561">
        <v>0</v>
      </c>
      <c r="AF42" s="1028"/>
      <c r="AG42" s="561">
        <v>0</v>
      </c>
      <c r="AH42" s="1028"/>
      <c r="AI42" s="561">
        <v>62.22</v>
      </c>
      <c r="AJ42" s="1028"/>
      <c r="AK42" s="561">
        <v>0</v>
      </c>
      <c r="AL42" s="1028"/>
      <c r="AM42" s="561">
        <v>0</v>
      </c>
      <c r="AN42" s="1028"/>
      <c r="AO42" s="561">
        <v>0</v>
      </c>
      <c r="AP42" s="1028"/>
      <c r="AQ42" s="561">
        <v>0</v>
      </c>
      <c r="AR42" s="1028"/>
      <c r="AS42" s="561">
        <v>0</v>
      </c>
      <c r="AT42" s="1028"/>
      <c r="AU42" s="561">
        <v>0</v>
      </c>
      <c r="AV42" s="1028"/>
      <c r="AW42" s="561">
        <v>100</v>
      </c>
      <c r="AX42" s="1028"/>
      <c r="AY42" s="561">
        <v>0</v>
      </c>
      <c r="AZ42" s="1028"/>
      <c r="BA42" s="561">
        <v>100</v>
      </c>
      <c r="BB42" s="1028"/>
      <c r="BC42" s="561">
        <v>0</v>
      </c>
      <c r="BD42" s="1028"/>
      <c r="BE42" s="561">
        <v>0</v>
      </c>
      <c r="BF42" s="1028"/>
      <c r="BG42" s="561">
        <v>0</v>
      </c>
      <c r="BH42" s="1028"/>
      <c r="BI42" s="561">
        <v>0</v>
      </c>
      <c r="BJ42" s="1028"/>
      <c r="BK42" s="561">
        <v>0</v>
      </c>
      <c r="BL42" s="1028"/>
      <c r="BM42" s="561">
        <v>0</v>
      </c>
      <c r="BN42" s="1028"/>
      <c r="BO42" s="561">
        <v>0</v>
      </c>
      <c r="BP42" s="1028"/>
      <c r="BQ42" s="561">
        <v>0</v>
      </c>
      <c r="BR42" s="1028"/>
      <c r="BS42" s="561">
        <v>0</v>
      </c>
      <c r="BT42" s="1028"/>
      <c r="BU42" s="561">
        <v>0</v>
      </c>
      <c r="BV42" s="1028"/>
      <c r="BW42" s="561">
        <v>0</v>
      </c>
      <c r="BX42" s="1028"/>
      <c r="BY42" s="561">
        <v>0</v>
      </c>
      <c r="BZ42" s="1028"/>
      <c r="CA42" s="561">
        <v>0</v>
      </c>
      <c r="CB42" s="1028"/>
      <c r="CC42" s="561">
        <v>0</v>
      </c>
      <c r="CD42" s="1028"/>
      <c r="CE42" s="561">
        <v>0</v>
      </c>
      <c r="CF42" s="1028"/>
      <c r="CG42" s="561">
        <v>0</v>
      </c>
      <c r="CH42" s="1028"/>
      <c r="CI42" s="306" t="s">
        <v>1066</v>
      </c>
      <c r="CV42" s="762">
        <v>0</v>
      </c>
    </row>
    <row s="1639" customFormat="1" customHeight="1" ht="45">
      <c r="A43" s="2409"/>
      <c r="B43" s="515"/>
      <c r="D43" s="669" t="s">
        <v>470</v>
      </c>
      <c r="E43" s="671" t="s">
        <v>1067</v>
      </c>
      <c r="F43" s="1032" t="s">
        <v>696</v>
      </c>
      <c r="G43" s="746"/>
      <c r="H43" s="1027"/>
      <c r="I43" s="746">
        <v>0</v>
      </c>
      <c r="J43" s="1027"/>
      <c r="K43" s="746">
        <v>0</v>
      </c>
      <c r="L43" s="1027"/>
      <c r="M43" s="746">
        <v>0</v>
      </c>
      <c r="N43" s="1027"/>
      <c r="O43" s="746">
        <v>0</v>
      </c>
      <c r="P43" s="1027"/>
      <c r="Q43" s="746">
        <v>0</v>
      </c>
      <c r="R43" s="1027"/>
      <c r="S43" s="746">
        <v>0</v>
      </c>
      <c r="T43" s="1027"/>
      <c r="U43" s="746">
        <v>40.4</v>
      </c>
      <c r="V43" s="1027"/>
      <c r="W43" s="746">
        <v>44.55</v>
      </c>
      <c r="X43" s="1027"/>
      <c r="Y43" s="746">
        <v>0</v>
      </c>
      <c r="Z43" s="1027"/>
      <c r="AA43" s="746">
        <v>0</v>
      </c>
      <c r="AB43" s="1027"/>
      <c r="AC43" s="746">
        <v>0</v>
      </c>
      <c r="AD43" s="1027"/>
      <c r="AE43" s="746">
        <v>0</v>
      </c>
      <c r="AF43" s="1027"/>
      <c r="AG43" s="746">
        <v>0</v>
      </c>
      <c r="AH43" s="1027"/>
      <c r="AI43" s="746">
        <v>67.72</v>
      </c>
      <c r="AJ43" s="1027"/>
      <c r="AK43" s="746">
        <v>0</v>
      </c>
      <c r="AL43" s="1027"/>
      <c r="AM43" s="746">
        <v>0</v>
      </c>
      <c r="AN43" s="1027"/>
      <c r="AO43" s="746">
        <v>0</v>
      </c>
      <c r="AP43" s="1027"/>
      <c r="AQ43" s="746">
        <v>0</v>
      </c>
      <c r="AR43" s="1027"/>
      <c r="AS43" s="746">
        <v>0</v>
      </c>
      <c r="AT43" s="1027"/>
      <c r="AU43" s="746">
        <v>0</v>
      </c>
      <c r="AV43" s="1027"/>
      <c r="AW43" s="746">
        <v>2.98</v>
      </c>
      <c r="AX43" s="1027"/>
      <c r="AY43" s="746">
        <v>0</v>
      </c>
      <c r="AZ43" s="1027"/>
      <c r="BA43" s="746">
        <v>0</v>
      </c>
      <c r="BB43" s="1027"/>
      <c r="BC43" s="746">
        <v>0</v>
      </c>
      <c r="BD43" s="1027"/>
      <c r="BE43" s="746">
        <v>0</v>
      </c>
      <c r="BF43" s="1027"/>
      <c r="BG43" s="746">
        <v>0</v>
      </c>
      <c r="BH43" s="1027"/>
      <c r="BI43" s="746">
        <v>0</v>
      </c>
      <c r="BJ43" s="1027"/>
      <c r="BK43" s="746">
        <v>0</v>
      </c>
      <c r="BL43" s="1027"/>
      <c r="BM43" s="746">
        <v>0</v>
      </c>
      <c r="BN43" s="1027"/>
      <c r="BO43" s="746">
        <v>0</v>
      </c>
      <c r="BP43" s="1027"/>
      <c r="BQ43" s="746">
        <v>0</v>
      </c>
      <c r="BR43" s="1027"/>
      <c r="BS43" s="746">
        <v>0</v>
      </c>
      <c r="BT43" s="1027"/>
      <c r="BU43" s="746">
        <v>0</v>
      </c>
      <c r="BV43" s="1027"/>
      <c r="BW43" s="746">
        <v>0</v>
      </c>
      <c r="BX43" s="1027"/>
      <c r="BY43" s="746">
        <v>0</v>
      </c>
      <c r="BZ43" s="1027"/>
      <c r="CA43" s="746">
        <v>0</v>
      </c>
      <c r="CB43" s="1027"/>
      <c r="CC43" s="746">
        <v>0</v>
      </c>
      <c r="CD43" s="1027"/>
      <c r="CE43" s="746">
        <v>0</v>
      </c>
      <c r="CF43" s="1027"/>
      <c r="CG43" s="746">
        <v>0</v>
      </c>
      <c r="CH43" s="1027"/>
      <c r="CI43" s="306" t="s">
        <v>1068</v>
      </c>
      <c r="CV43" s="762">
        <v>0</v>
      </c>
    </row>
    <row s="1639" customFormat="1" customHeight="1" ht="22.5">
      <c r="A44" s="2409"/>
      <c r="B44" s="515"/>
      <c r="D44" s="669" t="s">
        <v>90</v>
      </c>
      <c r="E44" s="670" t="s">
        <v>1069</v>
      </c>
      <c r="F44" s="664" t="s">
        <v>1059</v>
      </c>
      <c r="G44" s="672"/>
      <c r="H44" s="1027"/>
      <c r="I44" s="672">
        <v>42</v>
      </c>
      <c r="J44" s="1027"/>
      <c r="K44" s="1173">
        <v>0</v>
      </c>
      <c r="L44" s="1027"/>
      <c r="M44" s="1173">
        <v>1</v>
      </c>
      <c r="N44" s="1027"/>
      <c r="O44" s="1173">
        <v>0</v>
      </c>
      <c r="P44" s="1027"/>
      <c r="Q44" s="1173">
        <v>9</v>
      </c>
      <c r="R44" s="1027"/>
      <c r="S44" s="1173">
        <v>38</v>
      </c>
      <c r="T44" s="1027"/>
      <c r="U44" s="1173">
        <v>50</v>
      </c>
      <c r="V44" s="1027"/>
      <c r="W44" s="1173">
        <v>14</v>
      </c>
      <c r="X44" s="1027"/>
      <c r="Y44" s="1173">
        <v>17</v>
      </c>
      <c r="Z44" s="1027"/>
      <c r="AA44" s="1173">
        <v>28</v>
      </c>
      <c r="AB44" s="1027"/>
      <c r="AC44" s="1173">
        <v>27</v>
      </c>
      <c r="AD44" s="1027"/>
      <c r="AE44" s="1173">
        <v>72</v>
      </c>
      <c r="AF44" s="1027"/>
      <c r="AG44" s="1173">
        <v>64</v>
      </c>
      <c r="AH44" s="1027"/>
      <c r="AI44" s="1173">
        <v>9910</v>
      </c>
      <c r="AJ44" s="1027"/>
      <c r="AK44" s="1173">
        <v>98</v>
      </c>
      <c r="AL44" s="1027"/>
      <c r="AM44" s="1173">
        <v>48787</v>
      </c>
      <c r="AN44" s="1027"/>
      <c r="AO44" s="1173">
        <v>5183</v>
      </c>
      <c r="AP44" s="1027"/>
      <c r="AQ44" s="1173">
        <v>160</v>
      </c>
      <c r="AR44" s="1027"/>
      <c r="AS44" s="1173">
        <v>8066</v>
      </c>
      <c r="AT44" s="1027"/>
      <c r="AU44" s="1173">
        <v>17</v>
      </c>
      <c r="AV44" s="1027"/>
      <c r="AW44" s="1173">
        <v>173</v>
      </c>
      <c r="AX44" s="1027"/>
      <c r="AY44" s="1173">
        <v>0</v>
      </c>
      <c r="AZ44" s="1027"/>
      <c r="BA44" s="1173">
        <v>16</v>
      </c>
      <c r="BB44" s="1027"/>
      <c r="BC44" s="1173">
        <v>230</v>
      </c>
      <c r="BD44" s="1027"/>
      <c r="BE44" s="1173">
        <v>39</v>
      </c>
      <c r="BF44" s="1027"/>
      <c r="BG44" s="1173">
        <v>48</v>
      </c>
      <c r="BH44" s="1027"/>
      <c r="BI44" s="1173">
        <v>74</v>
      </c>
      <c r="BJ44" s="1027"/>
      <c r="BK44" s="1173">
        <v>1</v>
      </c>
      <c r="BL44" s="1027"/>
      <c r="BM44" s="1173">
        <v>56</v>
      </c>
      <c r="BN44" s="1027"/>
      <c r="BO44" s="1173">
        <v>0</v>
      </c>
      <c r="BP44" s="1027"/>
      <c r="BQ44" s="1173">
        <v>0</v>
      </c>
      <c r="BR44" s="1027"/>
      <c r="BS44" s="1173">
        <v>0</v>
      </c>
      <c r="BT44" s="1027"/>
      <c r="BU44" s="1173">
        <v>0</v>
      </c>
      <c r="BV44" s="1027"/>
      <c r="BW44" s="1173">
        <v>0</v>
      </c>
      <c r="BX44" s="1027"/>
      <c r="BY44" s="1173">
        <v>0</v>
      </c>
      <c r="BZ44" s="1027"/>
      <c r="CA44" s="1173">
        <v>0</v>
      </c>
      <c r="CB44" s="1027"/>
      <c r="CC44" s="1173">
        <v>0</v>
      </c>
      <c r="CD44" s="1027"/>
      <c r="CE44" s="1173">
        <v>0</v>
      </c>
      <c r="CF44" s="1027"/>
      <c r="CG44" s="1173">
        <v>0</v>
      </c>
      <c r="CH44" s="1027"/>
      <c r="CI44" s="293"/>
      <c r="CV44" s="762">
        <v>0</v>
      </c>
    </row>
    <row s="1639" customFormat="1" customHeight="1" ht="11.25">
      <c r="A45" s="2409"/>
      <c r="B45" s="515"/>
      <c r="D45" s="669" t="s">
        <v>942</v>
      </c>
      <c r="E45" s="671" t="s">
        <v>1070</v>
      </c>
      <c r="F45" s="664" t="s">
        <v>1059</v>
      </c>
      <c r="G45" s="672"/>
      <c r="H45" s="1027"/>
      <c r="I45" s="672">
        <v>42</v>
      </c>
      <c r="J45" s="1027"/>
      <c r="K45" s="1173">
        <v>0</v>
      </c>
      <c r="L45" s="1027"/>
      <c r="M45" s="1173">
        <v>1</v>
      </c>
      <c r="N45" s="1027"/>
      <c r="O45" s="1173">
        <v>0</v>
      </c>
      <c r="P45" s="1027"/>
      <c r="Q45" s="1173">
        <v>9</v>
      </c>
      <c r="R45" s="1027"/>
      <c r="S45" s="1173">
        <v>37</v>
      </c>
      <c r="T45" s="1027"/>
      <c r="U45" s="1173">
        <v>50</v>
      </c>
      <c r="V45" s="1027"/>
      <c r="W45" s="1173">
        <v>14</v>
      </c>
      <c r="X45" s="1027"/>
      <c r="Y45" s="1173">
        <v>17</v>
      </c>
      <c r="Z45" s="1027"/>
      <c r="AA45" s="1173">
        <v>28</v>
      </c>
      <c r="AB45" s="1027"/>
      <c r="AC45" s="1173">
        <v>27</v>
      </c>
      <c r="AD45" s="1027"/>
      <c r="AE45" s="1173">
        <v>72</v>
      </c>
      <c r="AF45" s="1027"/>
      <c r="AG45" s="1173">
        <v>58</v>
      </c>
      <c r="AH45" s="1027"/>
      <c r="AI45" s="1173">
        <v>40</v>
      </c>
      <c r="AJ45" s="1027"/>
      <c r="AK45" s="1173">
        <v>77</v>
      </c>
      <c r="AL45" s="1027"/>
      <c r="AM45" s="1173">
        <v>810</v>
      </c>
      <c r="AN45" s="1027"/>
      <c r="AO45" s="1173">
        <v>254</v>
      </c>
      <c r="AP45" s="1027"/>
      <c r="AQ45" s="1173">
        <v>160</v>
      </c>
      <c r="AR45" s="1027"/>
      <c r="AS45" s="1173">
        <v>2</v>
      </c>
      <c r="AT45" s="1027"/>
      <c r="AU45" s="1173">
        <v>17</v>
      </c>
      <c r="AV45" s="1027"/>
      <c r="AW45" s="1173">
        <v>56</v>
      </c>
      <c r="AX45" s="1027"/>
      <c r="AY45" s="1173">
        <v>0</v>
      </c>
      <c r="AZ45" s="1027"/>
      <c r="BA45" s="1173">
        <v>16</v>
      </c>
      <c r="BB45" s="1027"/>
      <c r="BC45" s="1173">
        <v>30</v>
      </c>
      <c r="BD45" s="1027"/>
      <c r="BE45" s="1173">
        <v>39</v>
      </c>
      <c r="BF45" s="1027"/>
      <c r="BG45" s="1173">
        <v>48</v>
      </c>
      <c r="BH45" s="1027"/>
      <c r="BI45" s="1173">
        <v>74</v>
      </c>
      <c r="BJ45" s="1027"/>
      <c r="BK45" s="1173">
        <v>1</v>
      </c>
      <c r="BL45" s="1027"/>
      <c r="BM45" s="1173">
        <v>54</v>
      </c>
      <c r="BN45" s="1027"/>
      <c r="BO45" s="1173">
        <v>0</v>
      </c>
      <c r="BP45" s="1027"/>
      <c r="BQ45" s="1173">
        <v>0</v>
      </c>
      <c r="BR45" s="1027"/>
      <c r="BS45" s="1173">
        <v>0</v>
      </c>
      <c r="BT45" s="1027"/>
      <c r="BU45" s="1173">
        <v>0</v>
      </c>
      <c r="BV45" s="1027"/>
      <c r="BW45" s="1173">
        <v>0</v>
      </c>
      <c r="BX45" s="1027"/>
      <c r="BY45" s="1173">
        <v>0</v>
      </c>
      <c r="BZ45" s="1027"/>
      <c r="CA45" s="1173">
        <v>0</v>
      </c>
      <c r="CB45" s="1027"/>
      <c r="CC45" s="1173">
        <v>0</v>
      </c>
      <c r="CD45" s="1027"/>
      <c r="CE45" s="1173">
        <v>0</v>
      </c>
      <c r="CF45" s="1027"/>
      <c r="CG45" s="1173">
        <v>0</v>
      </c>
      <c r="CH45" s="1027"/>
      <c r="CI45" s="293"/>
      <c r="CV45" s="762">
        <v>0</v>
      </c>
    </row>
    <row s="1639" customFormat="1" customHeight="1" ht="11.25">
      <c r="A46" s="2409"/>
      <c r="B46" s="515"/>
      <c r="D46" s="669" t="s">
        <v>986</v>
      </c>
      <c r="E46" s="671" t="s">
        <v>1071</v>
      </c>
      <c r="F46" s="664" t="s">
        <v>1059</v>
      </c>
      <c r="G46" s="672"/>
      <c r="H46" s="1027"/>
      <c r="I46" s="672">
        <v>42</v>
      </c>
      <c r="J46" s="1027"/>
      <c r="K46" s="1173">
        <v>0</v>
      </c>
      <c r="L46" s="1027"/>
      <c r="M46" s="1173">
        <v>1</v>
      </c>
      <c r="N46" s="1027"/>
      <c r="O46" s="1173">
        <v>0</v>
      </c>
      <c r="P46" s="1027"/>
      <c r="Q46" s="1173">
        <v>9</v>
      </c>
      <c r="R46" s="1027"/>
      <c r="S46" s="1173">
        <v>37</v>
      </c>
      <c r="T46" s="1027"/>
      <c r="U46" s="1173">
        <v>50</v>
      </c>
      <c r="V46" s="1027"/>
      <c r="W46" s="1173">
        <v>14</v>
      </c>
      <c r="X46" s="1027"/>
      <c r="Y46" s="1173">
        <v>17</v>
      </c>
      <c r="Z46" s="1027"/>
      <c r="AA46" s="1173">
        <v>28</v>
      </c>
      <c r="AB46" s="1027"/>
      <c r="AC46" s="1173">
        <v>27</v>
      </c>
      <c r="AD46" s="1027"/>
      <c r="AE46" s="1173">
        <v>72</v>
      </c>
      <c r="AF46" s="1027"/>
      <c r="AG46" s="1173">
        <v>58</v>
      </c>
      <c r="AH46" s="1027"/>
      <c r="AI46" s="1173">
        <v>40</v>
      </c>
      <c r="AJ46" s="1027"/>
      <c r="AK46" s="1173">
        <v>77</v>
      </c>
      <c r="AL46" s="1027"/>
      <c r="AM46" s="1173">
        <v>810</v>
      </c>
      <c r="AN46" s="1027"/>
      <c r="AO46" s="1173">
        <v>254</v>
      </c>
      <c r="AP46" s="1027"/>
      <c r="AQ46" s="1173">
        <v>160</v>
      </c>
      <c r="AR46" s="1027"/>
      <c r="AS46" s="1173">
        <v>2</v>
      </c>
      <c r="AT46" s="1027"/>
      <c r="AU46" s="1173">
        <v>17</v>
      </c>
      <c r="AV46" s="1027"/>
      <c r="AW46" s="1173">
        <v>56</v>
      </c>
      <c r="AX46" s="1027"/>
      <c r="AY46" s="1173">
        <v>0</v>
      </c>
      <c r="AZ46" s="1027"/>
      <c r="BA46" s="1173">
        <v>16</v>
      </c>
      <c r="BB46" s="1027"/>
      <c r="BC46" s="1173">
        <v>30</v>
      </c>
      <c r="BD46" s="1027"/>
      <c r="BE46" s="1173">
        <v>39</v>
      </c>
      <c r="BF46" s="1027"/>
      <c r="BG46" s="1173">
        <v>48</v>
      </c>
      <c r="BH46" s="1027"/>
      <c r="BI46" s="1173">
        <v>74</v>
      </c>
      <c r="BJ46" s="1027"/>
      <c r="BK46" s="1173">
        <v>1</v>
      </c>
      <c r="BL46" s="1027"/>
      <c r="BM46" s="1173">
        <v>54</v>
      </c>
      <c r="BN46" s="1027"/>
      <c r="BO46" s="1173">
        <v>0</v>
      </c>
      <c r="BP46" s="1027"/>
      <c r="BQ46" s="1173">
        <v>0</v>
      </c>
      <c r="BR46" s="1027"/>
      <c r="BS46" s="1173">
        <v>0</v>
      </c>
      <c r="BT46" s="1027"/>
      <c r="BU46" s="1173">
        <v>0</v>
      </c>
      <c r="BV46" s="1027"/>
      <c r="BW46" s="1173">
        <v>0</v>
      </c>
      <c r="BX46" s="1027"/>
      <c r="BY46" s="1173">
        <v>0</v>
      </c>
      <c r="BZ46" s="1027"/>
      <c r="CA46" s="1173">
        <v>0</v>
      </c>
      <c r="CB46" s="1027"/>
      <c r="CC46" s="1173">
        <v>0</v>
      </c>
      <c r="CD46" s="1027"/>
      <c r="CE46" s="1173">
        <v>0</v>
      </c>
      <c r="CF46" s="1027"/>
      <c r="CG46" s="1173">
        <v>0</v>
      </c>
      <c r="CH46" s="1027"/>
      <c r="CI46" s="293"/>
      <c r="CV46" s="762">
        <v>0</v>
      </c>
    </row>
    <row s="1639" customFormat="1" customHeight="1" ht="11.25">
      <c r="A47" s="2409"/>
      <c r="B47" s="515"/>
      <c r="D47" s="669" t="s">
        <v>989</v>
      </c>
      <c r="E47" s="671" t="s">
        <v>1072</v>
      </c>
      <c r="F47" s="664" t="s">
        <v>1059</v>
      </c>
      <c r="G47" s="672"/>
      <c r="H47" s="1027"/>
      <c r="I47" s="672">
        <v>0</v>
      </c>
      <c r="J47" s="1027"/>
      <c r="K47" s="1173">
        <v>0</v>
      </c>
      <c r="L47" s="1027"/>
      <c r="M47" s="1173">
        <v>0</v>
      </c>
      <c r="N47" s="1027"/>
      <c r="O47" s="1173">
        <v>0</v>
      </c>
      <c r="P47" s="1027"/>
      <c r="Q47" s="1173">
        <v>0</v>
      </c>
      <c r="R47" s="1027"/>
      <c r="S47" s="1173">
        <v>0</v>
      </c>
      <c r="T47" s="1027"/>
      <c r="U47" s="1173">
        <v>0</v>
      </c>
      <c r="V47" s="1027"/>
      <c r="W47" s="1173">
        <v>0</v>
      </c>
      <c r="X47" s="1027"/>
      <c r="Y47" s="1173">
        <v>0</v>
      </c>
      <c r="Z47" s="1027"/>
      <c r="AA47" s="1173">
        <v>0</v>
      </c>
      <c r="AB47" s="1027"/>
      <c r="AC47" s="1173">
        <v>0</v>
      </c>
      <c r="AD47" s="1027"/>
      <c r="AE47" s="1173">
        <v>0</v>
      </c>
      <c r="AF47" s="1027"/>
      <c r="AG47" s="1173">
        <v>0</v>
      </c>
      <c r="AH47" s="1027"/>
      <c r="AI47" s="1173">
        <v>9870</v>
      </c>
      <c r="AJ47" s="1027"/>
      <c r="AK47" s="1173">
        <v>0</v>
      </c>
      <c r="AL47" s="1027"/>
      <c r="AM47" s="1173">
        <v>47075</v>
      </c>
      <c r="AN47" s="1027"/>
      <c r="AO47" s="1173">
        <v>4457</v>
      </c>
      <c r="AP47" s="1027"/>
      <c r="AQ47" s="1173">
        <v>0</v>
      </c>
      <c r="AR47" s="1027"/>
      <c r="AS47" s="1173">
        <v>8064</v>
      </c>
      <c r="AT47" s="1027"/>
      <c r="AU47" s="1173">
        <v>0</v>
      </c>
      <c r="AV47" s="1027"/>
      <c r="AW47" s="1173">
        <v>0</v>
      </c>
      <c r="AX47" s="1027"/>
      <c r="AY47" s="1173">
        <v>0</v>
      </c>
      <c r="AZ47" s="1027"/>
      <c r="BA47" s="1173">
        <v>0</v>
      </c>
      <c r="BB47" s="1027"/>
      <c r="BC47" s="1173">
        <v>200</v>
      </c>
      <c r="BD47" s="1027"/>
      <c r="BE47" s="1173">
        <v>0</v>
      </c>
      <c r="BF47" s="1027"/>
      <c r="BG47" s="1173">
        <v>0</v>
      </c>
      <c r="BH47" s="1027"/>
      <c r="BI47" s="1173">
        <v>0</v>
      </c>
      <c r="BJ47" s="1027"/>
      <c r="BK47" s="1173">
        <v>0</v>
      </c>
      <c r="BL47" s="1027"/>
      <c r="BM47" s="1173">
        <v>0</v>
      </c>
      <c r="BN47" s="1027"/>
      <c r="BO47" s="1173">
        <v>0</v>
      </c>
      <c r="BP47" s="1027"/>
      <c r="BQ47" s="1173">
        <v>0</v>
      </c>
      <c r="BR47" s="1027"/>
      <c r="BS47" s="1173">
        <v>0</v>
      </c>
      <c r="BT47" s="1027"/>
      <c r="BU47" s="1173">
        <v>0</v>
      </c>
      <c r="BV47" s="1027"/>
      <c r="BW47" s="1173">
        <v>0</v>
      </c>
      <c r="BX47" s="1027"/>
      <c r="BY47" s="1173">
        <v>0</v>
      </c>
      <c r="BZ47" s="1027"/>
      <c r="CA47" s="1173">
        <v>0</v>
      </c>
      <c r="CB47" s="1027"/>
      <c r="CC47" s="1173">
        <v>0</v>
      </c>
      <c r="CD47" s="1027"/>
      <c r="CE47" s="1173">
        <v>0</v>
      </c>
      <c r="CF47" s="1027"/>
      <c r="CG47" s="1173">
        <v>0</v>
      </c>
      <c r="CH47" s="1027"/>
      <c r="CI47" s="293"/>
      <c r="CV47" s="762">
        <v>0</v>
      </c>
    </row>
    <row s="1639" customFormat="1" customHeight="1" ht="11.25">
      <c r="A48" s="2409"/>
      <c r="B48" s="515"/>
      <c r="D48" s="669" t="s">
        <v>1073</v>
      </c>
      <c r="E48" s="675" t="s">
        <v>1074</v>
      </c>
      <c r="F48" s="664" t="s">
        <v>1059</v>
      </c>
      <c r="G48" s="672"/>
      <c r="H48" s="1027"/>
      <c r="I48" s="672">
        <v>0</v>
      </c>
      <c r="J48" s="1027"/>
      <c r="K48" s="1173">
        <v>0</v>
      </c>
      <c r="L48" s="1027"/>
      <c r="M48" s="1173">
        <v>0</v>
      </c>
      <c r="N48" s="1027"/>
      <c r="O48" s="1173">
        <v>0</v>
      </c>
      <c r="P48" s="1027"/>
      <c r="Q48" s="1173">
        <v>0</v>
      </c>
      <c r="R48" s="1027"/>
      <c r="S48" s="1173">
        <v>0</v>
      </c>
      <c r="T48" s="1027"/>
      <c r="U48" s="1173">
        <v>0</v>
      </c>
      <c r="V48" s="1027"/>
      <c r="W48" s="1173">
        <v>0</v>
      </c>
      <c r="X48" s="1027"/>
      <c r="Y48" s="1173">
        <v>0</v>
      </c>
      <c r="Z48" s="1027"/>
      <c r="AA48" s="1173">
        <v>0</v>
      </c>
      <c r="AB48" s="1027"/>
      <c r="AC48" s="1173">
        <v>0</v>
      </c>
      <c r="AD48" s="1027"/>
      <c r="AE48" s="1173">
        <v>0</v>
      </c>
      <c r="AF48" s="1027"/>
      <c r="AG48" s="1173">
        <v>0</v>
      </c>
      <c r="AH48" s="1027"/>
      <c r="AI48" s="1173">
        <v>0</v>
      </c>
      <c r="AJ48" s="1027"/>
      <c r="AK48" s="1173">
        <v>0</v>
      </c>
      <c r="AL48" s="1027"/>
      <c r="AM48" s="1173">
        <v>0</v>
      </c>
      <c r="AN48" s="1027"/>
      <c r="AO48" s="1173">
        <v>0</v>
      </c>
      <c r="AP48" s="1027"/>
      <c r="AQ48" s="1173">
        <v>0</v>
      </c>
      <c r="AR48" s="1027"/>
      <c r="AS48" s="1173">
        <v>0</v>
      </c>
      <c r="AT48" s="1027"/>
      <c r="AU48" s="1173">
        <v>0</v>
      </c>
      <c r="AV48" s="1027"/>
      <c r="AW48" s="1173">
        <v>0</v>
      </c>
      <c r="AX48" s="1027"/>
      <c r="AY48" s="1173">
        <v>0</v>
      </c>
      <c r="AZ48" s="1027"/>
      <c r="BA48" s="1173">
        <v>0</v>
      </c>
      <c r="BB48" s="1027"/>
      <c r="BC48" s="1173">
        <v>0</v>
      </c>
      <c r="BD48" s="1027"/>
      <c r="BE48" s="1173">
        <v>0</v>
      </c>
      <c r="BF48" s="1027"/>
      <c r="BG48" s="1173">
        <v>0</v>
      </c>
      <c r="BH48" s="1027"/>
      <c r="BI48" s="1173">
        <v>0</v>
      </c>
      <c r="BJ48" s="1027"/>
      <c r="BK48" s="1173">
        <v>0</v>
      </c>
      <c r="BL48" s="1027"/>
      <c r="BM48" s="1173">
        <v>0</v>
      </c>
      <c r="BN48" s="1027"/>
      <c r="BO48" s="1173">
        <v>0</v>
      </c>
      <c r="BP48" s="1027"/>
      <c r="BQ48" s="1173">
        <v>0</v>
      </c>
      <c r="BR48" s="1027"/>
      <c r="BS48" s="1173">
        <v>0</v>
      </c>
      <c r="BT48" s="1027"/>
      <c r="BU48" s="1173">
        <v>0</v>
      </c>
      <c r="BV48" s="1027"/>
      <c r="BW48" s="1173">
        <v>0</v>
      </c>
      <c r="BX48" s="1027"/>
      <c r="BY48" s="1173">
        <v>0</v>
      </c>
      <c r="BZ48" s="1027"/>
      <c r="CA48" s="1173">
        <v>0</v>
      </c>
      <c r="CB48" s="1027"/>
      <c r="CC48" s="1173">
        <v>0</v>
      </c>
      <c r="CD48" s="1027"/>
      <c r="CE48" s="1173">
        <v>0</v>
      </c>
      <c r="CF48" s="1027"/>
      <c r="CG48" s="1173">
        <v>0</v>
      </c>
      <c r="CH48" s="1027"/>
      <c r="CI48" s="293"/>
      <c r="CV48" s="762">
        <v>0</v>
      </c>
    </row>
    <row s="1639" customFormat="1" customHeight="1" ht="11.25">
      <c r="A49" s="2409"/>
      <c r="B49" s="515"/>
      <c r="D49" s="669" t="s">
        <v>1075</v>
      </c>
      <c r="E49" s="675" t="s">
        <v>1076</v>
      </c>
      <c r="F49" s="664" t="s">
        <v>1059</v>
      </c>
      <c r="G49" s="672"/>
      <c r="H49" s="1027"/>
      <c r="I49" s="672">
        <v>0</v>
      </c>
      <c r="J49" s="1027"/>
      <c r="K49" s="1173">
        <v>0</v>
      </c>
      <c r="L49" s="1027"/>
      <c r="M49" s="1173">
        <v>0</v>
      </c>
      <c r="N49" s="1027"/>
      <c r="O49" s="1173">
        <v>0</v>
      </c>
      <c r="P49" s="1027"/>
      <c r="Q49" s="1173">
        <v>0</v>
      </c>
      <c r="R49" s="1027"/>
      <c r="S49" s="1173">
        <v>0</v>
      </c>
      <c r="T49" s="1027"/>
      <c r="U49" s="1173">
        <v>0</v>
      </c>
      <c r="V49" s="1027"/>
      <c r="W49" s="1173">
        <v>0</v>
      </c>
      <c r="X49" s="1027"/>
      <c r="Y49" s="1173">
        <v>0</v>
      </c>
      <c r="Z49" s="1027"/>
      <c r="AA49" s="1173">
        <v>0</v>
      </c>
      <c r="AB49" s="1027"/>
      <c r="AC49" s="1173">
        <v>0</v>
      </c>
      <c r="AD49" s="1027"/>
      <c r="AE49" s="1173">
        <v>0</v>
      </c>
      <c r="AF49" s="1027"/>
      <c r="AG49" s="1173">
        <v>0</v>
      </c>
      <c r="AH49" s="1027"/>
      <c r="AI49" s="1173">
        <v>9870</v>
      </c>
      <c r="AJ49" s="1027"/>
      <c r="AK49" s="1173">
        <v>0</v>
      </c>
      <c r="AL49" s="1027"/>
      <c r="AM49" s="1173">
        <v>47075</v>
      </c>
      <c r="AN49" s="1027"/>
      <c r="AO49" s="1173">
        <v>4457</v>
      </c>
      <c r="AP49" s="1027"/>
      <c r="AQ49" s="1173">
        <v>0</v>
      </c>
      <c r="AR49" s="1027"/>
      <c r="AS49" s="1173">
        <v>0</v>
      </c>
      <c r="AT49" s="1027"/>
      <c r="AU49" s="1173">
        <v>0</v>
      </c>
      <c r="AV49" s="1027"/>
      <c r="AW49" s="1173">
        <v>0</v>
      </c>
      <c r="AX49" s="1027"/>
      <c r="AY49" s="1173">
        <v>0</v>
      </c>
      <c r="AZ49" s="1027"/>
      <c r="BA49" s="1173">
        <v>0</v>
      </c>
      <c r="BB49" s="1027"/>
      <c r="BC49" s="1173">
        <v>200</v>
      </c>
      <c r="BD49" s="1027"/>
      <c r="BE49" s="1173">
        <v>0</v>
      </c>
      <c r="BF49" s="1027"/>
      <c r="BG49" s="1173">
        <v>0</v>
      </c>
      <c r="BH49" s="1027"/>
      <c r="BI49" s="1173">
        <v>0</v>
      </c>
      <c r="BJ49" s="1027"/>
      <c r="BK49" s="1173">
        <v>0</v>
      </c>
      <c r="BL49" s="1027"/>
      <c r="BM49" s="1173">
        <v>0</v>
      </c>
      <c r="BN49" s="1027"/>
      <c r="BO49" s="1173">
        <v>0</v>
      </c>
      <c r="BP49" s="1027"/>
      <c r="BQ49" s="1173">
        <v>0</v>
      </c>
      <c r="BR49" s="1027"/>
      <c r="BS49" s="1173">
        <v>0</v>
      </c>
      <c r="BT49" s="1027"/>
      <c r="BU49" s="1173">
        <v>0</v>
      </c>
      <c r="BV49" s="1027"/>
      <c r="BW49" s="1173">
        <v>0</v>
      </c>
      <c r="BX49" s="1027"/>
      <c r="BY49" s="1173">
        <v>0</v>
      </c>
      <c r="BZ49" s="1027"/>
      <c r="CA49" s="1173">
        <v>0</v>
      </c>
      <c r="CB49" s="1027"/>
      <c r="CC49" s="1173">
        <v>0</v>
      </c>
      <c r="CD49" s="1027"/>
      <c r="CE49" s="1173">
        <v>0</v>
      </c>
      <c r="CF49" s="1027"/>
      <c r="CG49" s="1173">
        <v>0</v>
      </c>
      <c r="CH49" s="1027"/>
      <c r="CI49" s="293"/>
      <c r="CV49" s="762">
        <v>0</v>
      </c>
    </row>
    <row s="1639" customFormat="1" customHeight="1" ht="11.25">
      <c r="A50" s="2409"/>
      <c r="B50" s="515"/>
      <c r="D50" s="669" t="s">
        <v>1077</v>
      </c>
      <c r="E50" s="671" t="s">
        <v>1078</v>
      </c>
      <c r="F50" s="664" t="s">
        <v>1059</v>
      </c>
      <c r="G50" s="672"/>
      <c r="H50" s="1027"/>
      <c r="I50" s="672">
        <v>42</v>
      </c>
      <c r="J50" s="1027"/>
      <c r="K50" s="1173">
        <v>0</v>
      </c>
      <c r="L50" s="1027"/>
      <c r="M50" s="1173">
        <v>1</v>
      </c>
      <c r="N50" s="1027"/>
      <c r="O50" s="1173">
        <v>0</v>
      </c>
      <c r="P50" s="1027"/>
      <c r="Q50" s="1173">
        <v>9</v>
      </c>
      <c r="R50" s="1027"/>
      <c r="S50" s="1173">
        <v>37</v>
      </c>
      <c r="T50" s="1027"/>
      <c r="U50" s="1173">
        <v>50</v>
      </c>
      <c r="V50" s="1027"/>
      <c r="W50" s="1173">
        <v>14</v>
      </c>
      <c r="X50" s="1027"/>
      <c r="Y50" s="1173">
        <v>17</v>
      </c>
      <c r="Z50" s="1027"/>
      <c r="AA50" s="1173">
        <v>28</v>
      </c>
      <c r="AB50" s="1027"/>
      <c r="AC50" s="1173">
        <v>27</v>
      </c>
      <c r="AD50" s="1027"/>
      <c r="AE50" s="1173">
        <v>72</v>
      </c>
      <c r="AF50" s="1027"/>
      <c r="AG50" s="1173">
        <v>58</v>
      </c>
      <c r="AH50" s="1027"/>
      <c r="AI50" s="1173">
        <v>40</v>
      </c>
      <c r="AJ50" s="1027"/>
      <c r="AK50" s="1173">
        <v>94</v>
      </c>
      <c r="AL50" s="1027"/>
      <c r="AM50" s="1173">
        <v>902</v>
      </c>
      <c r="AN50" s="1027"/>
      <c r="AO50" s="1173">
        <v>472</v>
      </c>
      <c r="AP50" s="1027"/>
      <c r="AQ50" s="1173">
        <v>160</v>
      </c>
      <c r="AR50" s="1027"/>
      <c r="AS50" s="1173">
        <v>2</v>
      </c>
      <c r="AT50" s="1027"/>
      <c r="AU50" s="1173">
        <v>17</v>
      </c>
      <c r="AV50" s="1027"/>
      <c r="AW50" s="1173">
        <v>173</v>
      </c>
      <c r="AX50" s="1027"/>
      <c r="AY50" s="1173">
        <v>0</v>
      </c>
      <c r="AZ50" s="1027"/>
      <c r="BA50" s="1173">
        <v>16</v>
      </c>
      <c r="BB50" s="1027"/>
      <c r="BC50" s="1173">
        <v>30</v>
      </c>
      <c r="BD50" s="1027"/>
      <c r="BE50" s="1173">
        <v>39</v>
      </c>
      <c r="BF50" s="1027"/>
      <c r="BG50" s="1173">
        <v>48</v>
      </c>
      <c r="BH50" s="1027"/>
      <c r="BI50" s="1173">
        <v>74</v>
      </c>
      <c r="BJ50" s="1027"/>
      <c r="BK50" s="1173">
        <v>1</v>
      </c>
      <c r="BL50" s="1027"/>
      <c r="BM50" s="1173">
        <v>56</v>
      </c>
      <c r="BN50" s="1027"/>
      <c r="BO50" s="1173">
        <v>0</v>
      </c>
      <c r="BP50" s="1027"/>
      <c r="BQ50" s="1173">
        <v>0</v>
      </c>
      <c r="BR50" s="1027"/>
      <c r="BS50" s="1173">
        <v>0</v>
      </c>
      <c r="BT50" s="1027"/>
      <c r="BU50" s="1173">
        <v>0</v>
      </c>
      <c r="BV50" s="1027"/>
      <c r="BW50" s="1173">
        <v>0</v>
      </c>
      <c r="BX50" s="1027"/>
      <c r="BY50" s="1173">
        <v>0</v>
      </c>
      <c r="BZ50" s="1027"/>
      <c r="CA50" s="1173">
        <v>0</v>
      </c>
      <c r="CB50" s="1027"/>
      <c r="CC50" s="1173">
        <v>0</v>
      </c>
      <c r="CD50" s="1027"/>
      <c r="CE50" s="1173">
        <v>0</v>
      </c>
      <c r="CF50" s="1027"/>
      <c r="CG50" s="1173">
        <v>0</v>
      </c>
      <c r="CH50" s="1027"/>
      <c r="CI50" s="293"/>
      <c r="CV50" s="762">
        <v>0</v>
      </c>
    </row>
    <row s="1639" customFormat="1" customHeight="1" ht="11.25">
      <c r="A51" s="2409"/>
      <c r="B51" s="515"/>
      <c r="D51" s="669" t="s">
        <v>1079</v>
      </c>
      <c r="E51" s="671" t="s">
        <v>1080</v>
      </c>
      <c r="F51" s="664" t="s">
        <v>1059</v>
      </c>
      <c r="G51" s="672"/>
      <c r="H51" s="1027"/>
      <c r="I51" s="672">
        <v>0</v>
      </c>
      <c r="J51" s="1027"/>
      <c r="K51" s="1173">
        <v>0</v>
      </c>
      <c r="L51" s="1027"/>
      <c r="M51" s="1173">
        <v>1</v>
      </c>
      <c r="N51" s="1027"/>
      <c r="O51" s="1173">
        <v>0</v>
      </c>
      <c r="P51" s="1027"/>
      <c r="Q51" s="1173">
        <v>0</v>
      </c>
      <c r="R51" s="1027"/>
      <c r="S51" s="1173">
        <v>0</v>
      </c>
      <c r="T51" s="1027"/>
      <c r="U51" s="1173">
        <v>0</v>
      </c>
      <c r="V51" s="1027"/>
      <c r="W51" s="1173">
        <v>0</v>
      </c>
      <c r="X51" s="1027"/>
      <c r="Y51" s="1173">
        <v>0</v>
      </c>
      <c r="Z51" s="1027"/>
      <c r="AA51" s="1173">
        <v>0</v>
      </c>
      <c r="AB51" s="1027"/>
      <c r="AC51" s="1173">
        <v>0</v>
      </c>
      <c r="AD51" s="1027"/>
      <c r="AE51" s="1173">
        <v>49</v>
      </c>
      <c r="AF51" s="1027"/>
      <c r="AG51" s="1173">
        <v>0</v>
      </c>
      <c r="AH51" s="1027"/>
      <c r="AI51" s="1173">
        <v>0</v>
      </c>
      <c r="AJ51" s="1027"/>
      <c r="AK51" s="1173">
        <v>0</v>
      </c>
      <c r="AL51" s="1027"/>
      <c r="AM51" s="1173">
        <v>0</v>
      </c>
      <c r="AN51" s="1027"/>
      <c r="AO51" s="1173">
        <v>0</v>
      </c>
      <c r="AP51" s="1027"/>
      <c r="AQ51" s="1173">
        <v>160</v>
      </c>
      <c r="AR51" s="1027"/>
      <c r="AS51" s="1173">
        <v>2</v>
      </c>
      <c r="AT51" s="1027"/>
      <c r="AU51" s="1173">
        <v>0</v>
      </c>
      <c r="AV51" s="1027"/>
      <c r="AW51" s="1173">
        <v>0</v>
      </c>
      <c r="AX51" s="1027"/>
      <c r="AY51" s="1173">
        <v>0</v>
      </c>
      <c r="AZ51" s="1027"/>
      <c r="BA51" s="1173">
        <v>0</v>
      </c>
      <c r="BB51" s="1027"/>
      <c r="BC51" s="1173">
        <v>8</v>
      </c>
      <c r="BD51" s="1027"/>
      <c r="BE51" s="1173">
        <v>39</v>
      </c>
      <c r="BF51" s="1027"/>
      <c r="BG51" s="1173">
        <v>48</v>
      </c>
      <c r="BH51" s="1027"/>
      <c r="BI51" s="1173">
        <v>74</v>
      </c>
      <c r="BJ51" s="1027"/>
      <c r="BK51" s="1173">
        <v>1</v>
      </c>
      <c r="BL51" s="1027"/>
      <c r="BM51" s="1173">
        <v>0</v>
      </c>
      <c r="BN51" s="1027"/>
      <c r="BO51" s="1173">
        <v>0</v>
      </c>
      <c r="BP51" s="1027"/>
      <c r="BQ51" s="1173">
        <v>0</v>
      </c>
      <c r="BR51" s="1027"/>
      <c r="BS51" s="1173">
        <v>0</v>
      </c>
      <c r="BT51" s="1027"/>
      <c r="BU51" s="1173">
        <v>0</v>
      </c>
      <c r="BV51" s="1027"/>
      <c r="BW51" s="1173">
        <v>0</v>
      </c>
      <c r="BX51" s="1027"/>
      <c r="BY51" s="1173">
        <v>0</v>
      </c>
      <c r="BZ51" s="1027"/>
      <c r="CA51" s="1173">
        <v>0</v>
      </c>
      <c r="CB51" s="1027"/>
      <c r="CC51" s="1173">
        <v>0</v>
      </c>
      <c r="CD51" s="1027"/>
      <c r="CE51" s="1173">
        <v>0</v>
      </c>
      <c r="CF51" s="1027"/>
      <c r="CG51" s="1173">
        <v>0</v>
      </c>
      <c r="CH51" s="1027"/>
      <c r="CI51" s="293"/>
      <c r="CV51" s="762">
        <v>0</v>
      </c>
    </row>
    <row s="1639" customFormat="1" customHeight="1" ht="45">
      <c r="A52" s="2409"/>
      <c r="B52" s="515"/>
      <c r="D52" s="669" t="s">
        <v>120</v>
      </c>
      <c r="E52" s="670" t="s">
        <v>1081</v>
      </c>
      <c r="F52" s="664" t="s">
        <v>1059</v>
      </c>
      <c r="G52" s="672"/>
      <c r="H52" s="1027"/>
      <c r="I52" s="672">
        <v>16</v>
      </c>
      <c r="J52" s="1027"/>
      <c r="K52" s="1173">
        <v>0</v>
      </c>
      <c r="L52" s="1027"/>
      <c r="M52" s="1173">
        <v>0</v>
      </c>
      <c r="N52" s="1027"/>
      <c r="O52" s="1173">
        <v>0</v>
      </c>
      <c r="P52" s="1027"/>
      <c r="Q52" s="1173">
        <v>1</v>
      </c>
      <c r="R52" s="1027"/>
      <c r="S52" s="1173">
        <v>5</v>
      </c>
      <c r="T52" s="1027"/>
      <c r="U52" s="1173">
        <v>25</v>
      </c>
      <c r="V52" s="1027"/>
      <c r="W52" s="1173">
        <v>2</v>
      </c>
      <c r="X52" s="1027"/>
      <c r="Y52" s="1173">
        <v>4</v>
      </c>
      <c r="Z52" s="1027"/>
      <c r="AA52" s="1173">
        <v>23</v>
      </c>
      <c r="AB52" s="1027"/>
      <c r="AC52" s="1173">
        <v>27</v>
      </c>
      <c r="AD52" s="1027"/>
      <c r="AE52" s="1173">
        <v>12</v>
      </c>
      <c r="AF52" s="1027"/>
      <c r="AG52" s="1173">
        <v>39</v>
      </c>
      <c r="AH52" s="1027"/>
      <c r="AI52" s="1173">
        <v>95</v>
      </c>
      <c r="AJ52" s="1027"/>
      <c r="AK52" s="1173">
        <v>16</v>
      </c>
      <c r="AL52" s="1027"/>
      <c r="AM52" s="1173">
        <v>291</v>
      </c>
      <c r="AN52" s="1027"/>
      <c r="AO52" s="1173">
        <v>17</v>
      </c>
      <c r="AP52" s="1027"/>
      <c r="AQ52" s="1173">
        <v>29</v>
      </c>
      <c r="AR52" s="1027"/>
      <c r="AS52" s="1173">
        <v>0</v>
      </c>
      <c r="AT52" s="1027"/>
      <c r="AU52" s="1173">
        <v>0</v>
      </c>
      <c r="AV52" s="1027"/>
      <c r="AW52" s="1173">
        <v>10</v>
      </c>
      <c r="AX52" s="1027"/>
      <c r="AY52" s="1173">
        <v>0</v>
      </c>
      <c r="AZ52" s="1027"/>
      <c r="BA52" s="1173">
        <v>7</v>
      </c>
      <c r="BB52" s="1027"/>
      <c r="BC52" s="1173">
        <v>199</v>
      </c>
      <c r="BD52" s="1027"/>
      <c r="BE52" s="1173">
        <v>5</v>
      </c>
      <c r="BF52" s="1027"/>
      <c r="BG52" s="1173">
        <v>12</v>
      </c>
      <c r="BH52" s="1027"/>
      <c r="BI52" s="1173">
        <v>16</v>
      </c>
      <c r="BJ52" s="1027"/>
      <c r="BK52" s="1173">
        <v>5</v>
      </c>
      <c r="BL52" s="1027"/>
      <c r="BM52" s="1173">
        <v>13</v>
      </c>
      <c r="BN52" s="1027"/>
      <c r="BO52" s="1173">
        <v>0</v>
      </c>
      <c r="BP52" s="1027"/>
      <c r="BQ52" s="1173">
        <v>0</v>
      </c>
      <c r="BR52" s="1027"/>
      <c r="BS52" s="1173">
        <v>0</v>
      </c>
      <c r="BT52" s="1027"/>
      <c r="BU52" s="1173">
        <v>0</v>
      </c>
      <c r="BV52" s="1027"/>
      <c r="BW52" s="1173">
        <v>0</v>
      </c>
      <c r="BX52" s="1027"/>
      <c r="BY52" s="1173">
        <v>0</v>
      </c>
      <c r="BZ52" s="1027"/>
      <c r="CA52" s="1173">
        <v>0</v>
      </c>
      <c r="CB52" s="1027"/>
      <c r="CC52" s="1173">
        <v>0</v>
      </c>
      <c r="CD52" s="1027"/>
      <c r="CE52" s="1173">
        <v>0</v>
      </c>
      <c r="CF52" s="1027"/>
      <c r="CG52" s="1173">
        <v>0</v>
      </c>
      <c r="CH52" s="1027"/>
      <c r="CI52" s="293"/>
      <c r="CV52" s="762">
        <v>0</v>
      </c>
    </row>
    <row s="1639" customFormat="1" customHeight="1" ht="11.25">
      <c r="A53" s="2409"/>
      <c r="B53" s="515"/>
      <c r="D53" s="669" t="s">
        <v>451</v>
      </c>
      <c r="E53" s="671" t="s">
        <v>1070</v>
      </c>
      <c r="F53" s="664" t="s">
        <v>1059</v>
      </c>
      <c r="G53" s="672"/>
      <c r="H53" s="1027"/>
      <c r="I53" s="672">
        <v>4</v>
      </c>
      <c r="J53" s="1027"/>
      <c r="K53" s="1173">
        <v>0</v>
      </c>
      <c r="L53" s="1027"/>
      <c r="M53" s="1173">
        <v>0</v>
      </c>
      <c r="N53" s="1027"/>
      <c r="O53" s="1173">
        <v>0</v>
      </c>
      <c r="P53" s="1027"/>
      <c r="Q53" s="1173">
        <v>0</v>
      </c>
      <c r="R53" s="1027"/>
      <c r="S53" s="1173">
        <v>1</v>
      </c>
      <c r="T53" s="1027"/>
      <c r="U53" s="1173">
        <v>11</v>
      </c>
      <c r="V53" s="1027"/>
      <c r="W53" s="1173">
        <v>0</v>
      </c>
      <c r="X53" s="1027"/>
      <c r="Y53" s="1173">
        <v>0</v>
      </c>
      <c r="Z53" s="1027"/>
      <c r="AA53" s="1173">
        <v>16</v>
      </c>
      <c r="AB53" s="1027"/>
      <c r="AC53" s="1173">
        <v>23</v>
      </c>
      <c r="AD53" s="1027"/>
      <c r="AE53" s="1173">
        <v>0</v>
      </c>
      <c r="AF53" s="1027"/>
      <c r="AG53" s="1173">
        <v>1</v>
      </c>
      <c r="AH53" s="1027"/>
      <c r="AI53" s="1173">
        <v>2</v>
      </c>
      <c r="AJ53" s="1027"/>
      <c r="AK53" s="1173">
        <v>16</v>
      </c>
      <c r="AL53" s="1027"/>
      <c r="AM53" s="1173">
        <v>260</v>
      </c>
      <c r="AN53" s="1027"/>
      <c r="AO53" s="1173">
        <v>5</v>
      </c>
      <c r="AP53" s="1027"/>
      <c r="AQ53" s="1173">
        <v>2</v>
      </c>
      <c r="AR53" s="1027"/>
      <c r="AS53" s="1173">
        <v>0</v>
      </c>
      <c r="AT53" s="1027"/>
      <c r="AU53" s="1173">
        <v>0</v>
      </c>
      <c r="AV53" s="1027"/>
      <c r="AW53" s="1173">
        <v>6</v>
      </c>
      <c r="AX53" s="1027"/>
      <c r="AY53" s="1173">
        <v>0</v>
      </c>
      <c r="AZ53" s="1027"/>
      <c r="BA53" s="1173">
        <v>2</v>
      </c>
      <c r="BB53" s="1027"/>
      <c r="BC53" s="1173">
        <v>0</v>
      </c>
      <c r="BD53" s="1027"/>
      <c r="BE53" s="1173">
        <v>0</v>
      </c>
      <c r="BF53" s="1027"/>
      <c r="BG53" s="1173">
        <v>0</v>
      </c>
      <c r="BH53" s="1027"/>
      <c r="BI53" s="1173">
        <v>6</v>
      </c>
      <c r="BJ53" s="1027"/>
      <c r="BK53" s="1173">
        <v>0</v>
      </c>
      <c r="BL53" s="1027"/>
      <c r="BM53" s="1173">
        <v>13</v>
      </c>
      <c r="BN53" s="1027"/>
      <c r="BO53" s="1173">
        <v>0</v>
      </c>
      <c r="BP53" s="1027"/>
      <c r="BQ53" s="1173">
        <v>0</v>
      </c>
      <c r="BR53" s="1027"/>
      <c r="BS53" s="1173">
        <v>0</v>
      </c>
      <c r="BT53" s="1027"/>
      <c r="BU53" s="1173">
        <v>0</v>
      </c>
      <c r="BV53" s="1027"/>
      <c r="BW53" s="1173">
        <v>0</v>
      </c>
      <c r="BX53" s="1027"/>
      <c r="BY53" s="1173">
        <v>0</v>
      </c>
      <c r="BZ53" s="1027"/>
      <c r="CA53" s="1173">
        <v>0</v>
      </c>
      <c r="CB53" s="1027"/>
      <c r="CC53" s="1173">
        <v>0</v>
      </c>
      <c r="CD53" s="1027"/>
      <c r="CE53" s="1173">
        <v>0</v>
      </c>
      <c r="CF53" s="1027"/>
      <c r="CG53" s="1173">
        <v>0</v>
      </c>
      <c r="CH53" s="1027"/>
      <c r="CI53" s="293"/>
      <c r="CV53" s="762">
        <v>0</v>
      </c>
    </row>
    <row s="1639" customFormat="1" customHeight="1" ht="11.25">
      <c r="A54" s="2409"/>
      <c r="B54" s="515"/>
      <c r="D54" s="669" t="s">
        <v>1082</v>
      </c>
      <c r="E54" s="671" t="s">
        <v>1071</v>
      </c>
      <c r="F54" s="664" t="s">
        <v>1059</v>
      </c>
      <c r="G54" s="672"/>
      <c r="H54" s="1027"/>
      <c r="I54" s="672">
        <v>0</v>
      </c>
      <c r="J54" s="1027"/>
      <c r="K54" s="1173">
        <v>0</v>
      </c>
      <c r="L54" s="1027"/>
      <c r="M54" s="1173">
        <v>0</v>
      </c>
      <c r="N54" s="1027"/>
      <c r="O54" s="1173">
        <v>0</v>
      </c>
      <c r="P54" s="1027"/>
      <c r="Q54" s="1173">
        <v>0</v>
      </c>
      <c r="R54" s="1027"/>
      <c r="S54" s="1173">
        <v>0</v>
      </c>
      <c r="T54" s="1027"/>
      <c r="U54" s="1173">
        <v>0</v>
      </c>
      <c r="V54" s="1027"/>
      <c r="W54" s="1173">
        <v>0</v>
      </c>
      <c r="X54" s="1027"/>
      <c r="Y54" s="1173">
        <v>0</v>
      </c>
      <c r="Z54" s="1027"/>
      <c r="AA54" s="1173">
        <v>0</v>
      </c>
      <c r="AB54" s="1027"/>
      <c r="AC54" s="1173">
        <v>0</v>
      </c>
      <c r="AD54" s="1027"/>
      <c r="AE54" s="1173">
        <v>3</v>
      </c>
      <c r="AF54" s="1027"/>
      <c r="AG54" s="1173">
        <v>0</v>
      </c>
      <c r="AH54" s="1027"/>
      <c r="AI54" s="1173">
        <v>0</v>
      </c>
      <c r="AJ54" s="1027"/>
      <c r="AK54" s="1173">
        <v>0</v>
      </c>
      <c r="AL54" s="1027"/>
      <c r="AM54" s="1173">
        <v>15</v>
      </c>
      <c r="AN54" s="1027"/>
      <c r="AO54" s="1173">
        <v>0</v>
      </c>
      <c r="AP54" s="1027"/>
      <c r="AQ54" s="1173">
        <v>2</v>
      </c>
      <c r="AR54" s="1027"/>
      <c r="AS54" s="1173">
        <v>0</v>
      </c>
      <c r="AT54" s="1027"/>
      <c r="AU54" s="1173">
        <v>0</v>
      </c>
      <c r="AV54" s="1027"/>
      <c r="AW54" s="1173">
        <v>0</v>
      </c>
      <c r="AX54" s="1027"/>
      <c r="AY54" s="1173">
        <v>0</v>
      </c>
      <c r="AZ54" s="1027"/>
      <c r="BA54" s="1173">
        <v>0</v>
      </c>
      <c r="BB54" s="1027"/>
      <c r="BC54" s="1173">
        <v>0</v>
      </c>
      <c r="BD54" s="1027"/>
      <c r="BE54" s="1173">
        <v>0</v>
      </c>
      <c r="BF54" s="1027"/>
      <c r="BG54" s="1173">
        <v>9</v>
      </c>
      <c r="BH54" s="1027"/>
      <c r="BI54" s="1173">
        <v>8</v>
      </c>
      <c r="BJ54" s="1027"/>
      <c r="BK54" s="1173">
        <v>0</v>
      </c>
      <c r="BL54" s="1027"/>
      <c r="BM54" s="1173">
        <v>0</v>
      </c>
      <c r="BN54" s="1027"/>
      <c r="BO54" s="1173">
        <v>0</v>
      </c>
      <c r="BP54" s="1027"/>
      <c r="BQ54" s="1173">
        <v>0</v>
      </c>
      <c r="BR54" s="1027"/>
      <c r="BS54" s="1173">
        <v>0</v>
      </c>
      <c r="BT54" s="1027"/>
      <c r="BU54" s="1173">
        <v>0</v>
      </c>
      <c r="BV54" s="1027"/>
      <c r="BW54" s="1173">
        <v>0</v>
      </c>
      <c r="BX54" s="1027"/>
      <c r="BY54" s="1173">
        <v>0</v>
      </c>
      <c r="BZ54" s="1027"/>
      <c r="CA54" s="1173">
        <v>0</v>
      </c>
      <c r="CB54" s="1027"/>
      <c r="CC54" s="1173">
        <v>0</v>
      </c>
      <c r="CD54" s="1027"/>
      <c r="CE54" s="1173">
        <v>0</v>
      </c>
      <c r="CF54" s="1027"/>
      <c r="CG54" s="1173">
        <v>0</v>
      </c>
      <c r="CH54" s="1027"/>
      <c r="CI54" s="293"/>
      <c r="CV54" s="762">
        <v>0</v>
      </c>
    </row>
    <row s="1639" customFormat="1" customHeight="1" ht="11.25">
      <c r="A55" s="2409"/>
      <c r="B55" s="515"/>
      <c r="D55" s="669" t="s">
        <v>1083</v>
      </c>
      <c r="E55" s="671" t="s">
        <v>1072</v>
      </c>
      <c r="F55" s="664" t="s">
        <v>1059</v>
      </c>
      <c r="G55" s="672"/>
      <c r="H55" s="1027"/>
      <c r="I55" s="672">
        <v>0</v>
      </c>
      <c r="J55" s="1027"/>
      <c r="K55" s="1173">
        <v>0</v>
      </c>
      <c r="L55" s="1027"/>
      <c r="M55" s="1173">
        <v>0</v>
      </c>
      <c r="N55" s="1027"/>
      <c r="O55" s="1173">
        <v>0</v>
      </c>
      <c r="P55" s="1027"/>
      <c r="Q55" s="1173">
        <v>0</v>
      </c>
      <c r="R55" s="1027"/>
      <c r="S55" s="1173">
        <v>0</v>
      </c>
      <c r="T55" s="1027"/>
      <c r="U55" s="1173">
        <v>0</v>
      </c>
      <c r="V55" s="1027"/>
      <c r="W55" s="1173">
        <v>0</v>
      </c>
      <c r="X55" s="1027"/>
      <c r="Y55" s="1173">
        <v>0</v>
      </c>
      <c r="Z55" s="1027"/>
      <c r="AA55" s="1173">
        <v>0</v>
      </c>
      <c r="AB55" s="1027"/>
      <c r="AC55" s="1173">
        <v>0</v>
      </c>
      <c r="AD55" s="1027"/>
      <c r="AE55" s="1173">
        <v>0</v>
      </c>
      <c r="AF55" s="1027"/>
      <c r="AG55" s="1173">
        <v>0</v>
      </c>
      <c r="AH55" s="1027"/>
      <c r="AI55" s="1173">
        <v>93</v>
      </c>
      <c r="AJ55" s="1027"/>
      <c r="AK55" s="1173">
        <v>0</v>
      </c>
      <c r="AL55" s="1027"/>
      <c r="AM55" s="1173">
        <v>0</v>
      </c>
      <c r="AN55" s="1027"/>
      <c r="AO55" s="1173">
        <v>0</v>
      </c>
      <c r="AP55" s="1027"/>
      <c r="AQ55" s="1173">
        <v>0</v>
      </c>
      <c r="AR55" s="1027"/>
      <c r="AS55" s="1173">
        <v>0</v>
      </c>
      <c r="AT55" s="1027"/>
      <c r="AU55" s="1173">
        <v>0</v>
      </c>
      <c r="AV55" s="1027"/>
      <c r="AW55" s="1173">
        <v>0</v>
      </c>
      <c r="AX55" s="1027"/>
      <c r="AY55" s="1173">
        <v>0</v>
      </c>
      <c r="AZ55" s="1027"/>
      <c r="BA55" s="1173">
        <v>0</v>
      </c>
      <c r="BB55" s="1027"/>
      <c r="BC55" s="1173">
        <v>199</v>
      </c>
      <c r="BD55" s="1027"/>
      <c r="BE55" s="1173">
        <v>0</v>
      </c>
      <c r="BF55" s="1027"/>
      <c r="BG55" s="1173">
        <v>0</v>
      </c>
      <c r="BH55" s="1027"/>
      <c r="BI55" s="1173">
        <v>0</v>
      </c>
      <c r="BJ55" s="1027"/>
      <c r="BK55" s="1173">
        <v>0</v>
      </c>
      <c r="BL55" s="1027"/>
      <c r="BM55" s="1173">
        <v>0</v>
      </c>
      <c r="BN55" s="1027"/>
      <c r="BO55" s="1173">
        <v>0</v>
      </c>
      <c r="BP55" s="1027"/>
      <c r="BQ55" s="1173">
        <v>0</v>
      </c>
      <c r="BR55" s="1027"/>
      <c r="BS55" s="1173">
        <v>0</v>
      </c>
      <c r="BT55" s="1027"/>
      <c r="BU55" s="1173">
        <v>0</v>
      </c>
      <c r="BV55" s="1027"/>
      <c r="BW55" s="1173">
        <v>0</v>
      </c>
      <c r="BX55" s="1027"/>
      <c r="BY55" s="1173">
        <v>0</v>
      </c>
      <c r="BZ55" s="1027"/>
      <c r="CA55" s="1173">
        <v>0</v>
      </c>
      <c r="CB55" s="1027"/>
      <c r="CC55" s="1173">
        <v>0</v>
      </c>
      <c r="CD55" s="1027"/>
      <c r="CE55" s="1173">
        <v>0</v>
      </c>
      <c r="CF55" s="1027"/>
      <c r="CG55" s="1173">
        <v>0</v>
      </c>
      <c r="CH55" s="1027"/>
      <c r="CI55" s="293"/>
      <c r="CV55" s="762">
        <v>0</v>
      </c>
    </row>
    <row s="1639" customFormat="1" customHeight="1" ht="11.25">
      <c r="A56" s="2409"/>
      <c r="B56" s="515"/>
      <c r="D56" s="669" t="s">
        <v>1084</v>
      </c>
      <c r="E56" s="675" t="s">
        <v>1074</v>
      </c>
      <c r="F56" s="664" t="s">
        <v>1059</v>
      </c>
      <c r="G56" s="672"/>
      <c r="H56" s="1027"/>
      <c r="I56" s="672">
        <v>0</v>
      </c>
      <c r="J56" s="1027"/>
      <c r="K56" s="1173">
        <v>0</v>
      </c>
      <c r="L56" s="1027"/>
      <c r="M56" s="1173">
        <v>0</v>
      </c>
      <c r="N56" s="1027"/>
      <c r="O56" s="1173">
        <v>0</v>
      </c>
      <c r="P56" s="1027"/>
      <c r="Q56" s="1173">
        <v>0</v>
      </c>
      <c r="R56" s="1027"/>
      <c r="S56" s="1173">
        <v>0</v>
      </c>
      <c r="T56" s="1027"/>
      <c r="U56" s="1173">
        <v>0</v>
      </c>
      <c r="V56" s="1027"/>
      <c r="W56" s="1173">
        <v>0</v>
      </c>
      <c r="X56" s="1027"/>
      <c r="Y56" s="1173">
        <v>0</v>
      </c>
      <c r="Z56" s="1027"/>
      <c r="AA56" s="1173">
        <v>0</v>
      </c>
      <c r="AB56" s="1027"/>
      <c r="AC56" s="1173">
        <v>0</v>
      </c>
      <c r="AD56" s="1027"/>
      <c r="AE56" s="1173">
        <v>0</v>
      </c>
      <c r="AF56" s="1027"/>
      <c r="AG56" s="1173">
        <v>0</v>
      </c>
      <c r="AH56" s="1027"/>
      <c r="AI56" s="1173">
        <v>0</v>
      </c>
      <c r="AJ56" s="1027"/>
      <c r="AK56" s="1173">
        <v>0</v>
      </c>
      <c r="AL56" s="1027"/>
      <c r="AM56" s="1173">
        <v>0</v>
      </c>
      <c r="AN56" s="1027"/>
      <c r="AO56" s="1173">
        <v>0</v>
      </c>
      <c r="AP56" s="1027"/>
      <c r="AQ56" s="1173">
        <v>0</v>
      </c>
      <c r="AR56" s="1027"/>
      <c r="AS56" s="1173">
        <v>0</v>
      </c>
      <c r="AT56" s="1027"/>
      <c r="AU56" s="1173">
        <v>0</v>
      </c>
      <c r="AV56" s="1027"/>
      <c r="AW56" s="1173">
        <v>0</v>
      </c>
      <c r="AX56" s="1027"/>
      <c r="AY56" s="1173">
        <v>0</v>
      </c>
      <c r="AZ56" s="1027"/>
      <c r="BA56" s="1173">
        <v>0</v>
      </c>
      <c r="BB56" s="1027"/>
      <c r="BC56" s="1173">
        <v>0</v>
      </c>
      <c r="BD56" s="1027"/>
      <c r="BE56" s="1173">
        <v>0</v>
      </c>
      <c r="BF56" s="1027"/>
      <c r="BG56" s="1173">
        <v>0</v>
      </c>
      <c r="BH56" s="1027"/>
      <c r="BI56" s="1173">
        <v>0</v>
      </c>
      <c r="BJ56" s="1027"/>
      <c r="BK56" s="1173">
        <v>0</v>
      </c>
      <c r="BL56" s="1027"/>
      <c r="BM56" s="1173">
        <v>0</v>
      </c>
      <c r="BN56" s="1027"/>
      <c r="BO56" s="1173">
        <v>0</v>
      </c>
      <c r="BP56" s="1027"/>
      <c r="BQ56" s="1173">
        <v>0</v>
      </c>
      <c r="BR56" s="1027"/>
      <c r="BS56" s="1173">
        <v>0</v>
      </c>
      <c r="BT56" s="1027"/>
      <c r="BU56" s="1173">
        <v>0</v>
      </c>
      <c r="BV56" s="1027"/>
      <c r="BW56" s="1173">
        <v>0</v>
      </c>
      <c r="BX56" s="1027"/>
      <c r="BY56" s="1173">
        <v>0</v>
      </c>
      <c r="BZ56" s="1027"/>
      <c r="CA56" s="1173">
        <v>0</v>
      </c>
      <c r="CB56" s="1027"/>
      <c r="CC56" s="1173">
        <v>0</v>
      </c>
      <c r="CD56" s="1027"/>
      <c r="CE56" s="1173">
        <v>0</v>
      </c>
      <c r="CF56" s="1027"/>
      <c r="CG56" s="1173">
        <v>0</v>
      </c>
      <c r="CH56" s="1027"/>
      <c r="CI56" s="293"/>
      <c r="CV56" s="762">
        <v>0</v>
      </c>
    </row>
    <row s="1639" customFormat="1" customHeight="1" ht="11.25">
      <c r="A57" s="2409"/>
      <c r="B57" s="515"/>
      <c r="D57" s="669" t="s">
        <v>1085</v>
      </c>
      <c r="E57" s="675" t="s">
        <v>1076</v>
      </c>
      <c r="F57" s="664" t="s">
        <v>1059</v>
      </c>
      <c r="G57" s="672"/>
      <c r="H57" s="1027"/>
      <c r="I57" s="672">
        <v>0</v>
      </c>
      <c r="J57" s="1027"/>
      <c r="K57" s="1173">
        <v>0</v>
      </c>
      <c r="L57" s="1027"/>
      <c r="M57" s="1173">
        <v>0</v>
      </c>
      <c r="N57" s="1027"/>
      <c r="O57" s="1173">
        <v>0</v>
      </c>
      <c r="P57" s="1027"/>
      <c r="Q57" s="1173">
        <v>0</v>
      </c>
      <c r="R57" s="1027"/>
      <c r="S57" s="1173">
        <v>0</v>
      </c>
      <c r="T57" s="1027"/>
      <c r="U57" s="1173">
        <v>0</v>
      </c>
      <c r="V57" s="1027"/>
      <c r="W57" s="1173">
        <v>0</v>
      </c>
      <c r="X57" s="1027"/>
      <c r="Y57" s="1173">
        <v>0</v>
      </c>
      <c r="Z57" s="1027"/>
      <c r="AA57" s="1173">
        <v>0</v>
      </c>
      <c r="AB57" s="1027"/>
      <c r="AC57" s="1173">
        <v>0</v>
      </c>
      <c r="AD57" s="1027"/>
      <c r="AE57" s="1173">
        <v>0</v>
      </c>
      <c r="AF57" s="1027"/>
      <c r="AG57" s="1173">
        <v>0</v>
      </c>
      <c r="AH57" s="1027"/>
      <c r="AI57" s="1173">
        <v>93</v>
      </c>
      <c r="AJ57" s="1027"/>
      <c r="AK57" s="1173">
        <v>0</v>
      </c>
      <c r="AL57" s="1027"/>
      <c r="AM57" s="1173">
        <v>0</v>
      </c>
      <c r="AN57" s="1027"/>
      <c r="AO57" s="1173">
        <v>0</v>
      </c>
      <c r="AP57" s="1027"/>
      <c r="AQ57" s="1173">
        <v>0</v>
      </c>
      <c r="AR57" s="1027"/>
      <c r="AS57" s="1173">
        <v>0</v>
      </c>
      <c r="AT57" s="1027"/>
      <c r="AU57" s="1173">
        <v>0</v>
      </c>
      <c r="AV57" s="1027"/>
      <c r="AW57" s="1173">
        <v>0</v>
      </c>
      <c r="AX57" s="1027"/>
      <c r="AY57" s="1173">
        <v>0</v>
      </c>
      <c r="AZ57" s="1027"/>
      <c r="BA57" s="1173">
        <v>0</v>
      </c>
      <c r="BB57" s="1027"/>
      <c r="BC57" s="1173">
        <v>199</v>
      </c>
      <c r="BD57" s="1027"/>
      <c r="BE57" s="1173">
        <v>0</v>
      </c>
      <c r="BF57" s="1027"/>
      <c r="BG57" s="1173">
        <v>0</v>
      </c>
      <c r="BH57" s="1027"/>
      <c r="BI57" s="1173">
        <v>0</v>
      </c>
      <c r="BJ57" s="1027"/>
      <c r="BK57" s="1173">
        <v>0</v>
      </c>
      <c r="BL57" s="1027"/>
      <c r="BM57" s="1173">
        <v>0</v>
      </c>
      <c r="BN57" s="1027"/>
      <c r="BO57" s="1173">
        <v>0</v>
      </c>
      <c r="BP57" s="1027"/>
      <c r="BQ57" s="1173">
        <v>0</v>
      </c>
      <c r="BR57" s="1027"/>
      <c r="BS57" s="1173">
        <v>0</v>
      </c>
      <c r="BT57" s="1027"/>
      <c r="BU57" s="1173">
        <v>0</v>
      </c>
      <c r="BV57" s="1027"/>
      <c r="BW57" s="1173">
        <v>0</v>
      </c>
      <c r="BX57" s="1027"/>
      <c r="BY57" s="1173">
        <v>0</v>
      </c>
      <c r="BZ57" s="1027"/>
      <c r="CA57" s="1173">
        <v>0</v>
      </c>
      <c r="CB57" s="1027"/>
      <c r="CC57" s="1173">
        <v>0</v>
      </c>
      <c r="CD57" s="1027"/>
      <c r="CE57" s="1173">
        <v>0</v>
      </c>
      <c r="CF57" s="1027"/>
      <c r="CG57" s="1173">
        <v>0</v>
      </c>
      <c r="CH57" s="1027"/>
      <c r="CI57" s="293"/>
      <c r="CV57" s="762">
        <v>0</v>
      </c>
    </row>
    <row s="1639" customFormat="1" customHeight="1" ht="11.25">
      <c r="A58" s="2409"/>
      <c r="B58" s="515"/>
      <c r="D58" s="669" t="s">
        <v>1086</v>
      </c>
      <c r="E58" s="671" t="s">
        <v>1078</v>
      </c>
      <c r="F58" s="664" t="s">
        <v>1059</v>
      </c>
      <c r="G58" s="672"/>
      <c r="H58" s="1027"/>
      <c r="I58" s="672">
        <v>16</v>
      </c>
      <c r="J58" s="1027"/>
      <c r="K58" s="1173">
        <v>0</v>
      </c>
      <c r="L58" s="1027"/>
      <c r="M58" s="1173">
        <v>0</v>
      </c>
      <c r="N58" s="1027"/>
      <c r="O58" s="1173">
        <v>0</v>
      </c>
      <c r="P58" s="1027"/>
      <c r="Q58" s="1173">
        <v>1</v>
      </c>
      <c r="R58" s="1027"/>
      <c r="S58" s="1173">
        <v>4</v>
      </c>
      <c r="T58" s="1027"/>
      <c r="U58" s="1173">
        <v>17</v>
      </c>
      <c r="V58" s="1027"/>
      <c r="W58" s="1173">
        <v>2</v>
      </c>
      <c r="X58" s="1027"/>
      <c r="Y58" s="1173">
        <v>4</v>
      </c>
      <c r="Z58" s="1027"/>
      <c r="AA58" s="1173">
        <v>17</v>
      </c>
      <c r="AB58" s="1027"/>
      <c r="AC58" s="1173">
        <v>17</v>
      </c>
      <c r="AD58" s="1027"/>
      <c r="AE58" s="1173">
        <v>11</v>
      </c>
      <c r="AF58" s="1027"/>
      <c r="AG58" s="1173">
        <v>38</v>
      </c>
      <c r="AH58" s="1027"/>
      <c r="AI58" s="1173">
        <v>0</v>
      </c>
      <c r="AJ58" s="1027"/>
      <c r="AK58" s="1173">
        <v>0</v>
      </c>
      <c r="AL58" s="1027"/>
      <c r="AM58" s="1173">
        <v>28</v>
      </c>
      <c r="AN58" s="1027"/>
      <c r="AO58" s="1173">
        <v>12</v>
      </c>
      <c r="AP58" s="1027"/>
      <c r="AQ58" s="1173">
        <v>25</v>
      </c>
      <c r="AR58" s="1027"/>
      <c r="AS58" s="1173">
        <v>0</v>
      </c>
      <c r="AT58" s="1027"/>
      <c r="AU58" s="1173">
        <v>0</v>
      </c>
      <c r="AV58" s="1027"/>
      <c r="AW58" s="1173">
        <v>2</v>
      </c>
      <c r="AX58" s="1027"/>
      <c r="AY58" s="1173">
        <v>0</v>
      </c>
      <c r="AZ58" s="1027"/>
      <c r="BA58" s="1173">
        <v>5</v>
      </c>
      <c r="BB58" s="1027"/>
      <c r="BC58" s="1173">
        <v>0</v>
      </c>
      <c r="BD58" s="1027"/>
      <c r="BE58" s="1173">
        <v>5</v>
      </c>
      <c r="BF58" s="1027"/>
      <c r="BG58" s="1173">
        <v>3</v>
      </c>
      <c r="BH58" s="1027"/>
      <c r="BI58" s="1173">
        <v>5</v>
      </c>
      <c r="BJ58" s="1027"/>
      <c r="BK58" s="1173">
        <v>5</v>
      </c>
      <c r="BL58" s="1027"/>
      <c r="BM58" s="1173">
        <v>0</v>
      </c>
      <c r="BN58" s="1027"/>
      <c r="BO58" s="1173">
        <v>0</v>
      </c>
      <c r="BP58" s="1027"/>
      <c r="BQ58" s="1173">
        <v>0</v>
      </c>
      <c r="BR58" s="1027"/>
      <c r="BS58" s="1173">
        <v>0</v>
      </c>
      <c r="BT58" s="1027"/>
      <c r="BU58" s="1173">
        <v>0</v>
      </c>
      <c r="BV58" s="1027"/>
      <c r="BW58" s="1173">
        <v>0</v>
      </c>
      <c r="BX58" s="1027"/>
      <c r="BY58" s="1173">
        <v>0</v>
      </c>
      <c r="BZ58" s="1027"/>
      <c r="CA58" s="1173">
        <v>0</v>
      </c>
      <c r="CB58" s="1027"/>
      <c r="CC58" s="1173">
        <v>0</v>
      </c>
      <c r="CD58" s="1027"/>
      <c r="CE58" s="1173">
        <v>0</v>
      </c>
      <c r="CF58" s="1027"/>
      <c r="CG58" s="1173">
        <v>0</v>
      </c>
      <c r="CH58" s="1027"/>
      <c r="CI58" s="293"/>
      <c r="CV58" s="762">
        <v>0</v>
      </c>
    </row>
    <row s="1639" customFormat="1" customHeight="1" ht="11.25">
      <c r="A59" s="2409"/>
      <c r="B59" s="515"/>
      <c r="D59" s="669" t="s">
        <v>1087</v>
      </c>
      <c r="E59" s="671" t="s">
        <v>1080</v>
      </c>
      <c r="F59" s="664" t="s">
        <v>1059</v>
      </c>
      <c r="G59" s="672"/>
      <c r="H59" s="1027"/>
      <c r="I59" s="672">
        <v>0</v>
      </c>
      <c r="J59" s="1027"/>
      <c r="K59" s="1173">
        <v>0</v>
      </c>
      <c r="L59" s="1027"/>
      <c r="M59" s="1173">
        <v>0</v>
      </c>
      <c r="N59" s="1027"/>
      <c r="O59" s="1173">
        <v>0</v>
      </c>
      <c r="P59" s="1027"/>
      <c r="Q59" s="1173">
        <v>0</v>
      </c>
      <c r="R59" s="1027"/>
      <c r="S59" s="1173">
        <v>0</v>
      </c>
      <c r="T59" s="1027"/>
      <c r="U59" s="1173">
        <v>0</v>
      </c>
      <c r="V59" s="1027"/>
      <c r="W59" s="1173">
        <v>0</v>
      </c>
      <c r="X59" s="1027"/>
      <c r="Y59" s="1173">
        <v>0</v>
      </c>
      <c r="Z59" s="1027"/>
      <c r="AA59" s="1173">
        <v>0</v>
      </c>
      <c r="AB59" s="1027"/>
      <c r="AC59" s="1173">
        <v>0</v>
      </c>
      <c r="AD59" s="1027"/>
      <c r="AE59" s="1173">
        <v>0</v>
      </c>
      <c r="AF59" s="1027"/>
      <c r="AG59" s="1173">
        <v>0</v>
      </c>
      <c r="AH59" s="1027"/>
      <c r="AI59" s="1173">
        <v>0</v>
      </c>
      <c r="AJ59" s="1027"/>
      <c r="AK59" s="1173">
        <v>0</v>
      </c>
      <c r="AL59" s="1027"/>
      <c r="AM59" s="1173">
        <v>0</v>
      </c>
      <c r="AN59" s="1027"/>
      <c r="AO59" s="1173">
        <v>0</v>
      </c>
      <c r="AP59" s="1027"/>
      <c r="AQ59" s="1173">
        <v>4</v>
      </c>
      <c r="AR59" s="1027"/>
      <c r="AS59" s="1173">
        <v>0</v>
      </c>
      <c r="AT59" s="1027"/>
      <c r="AU59" s="1173">
        <v>0</v>
      </c>
      <c r="AV59" s="1027"/>
      <c r="AW59" s="1173">
        <v>0</v>
      </c>
      <c r="AX59" s="1027"/>
      <c r="AY59" s="1173">
        <v>0</v>
      </c>
      <c r="AZ59" s="1027"/>
      <c r="BA59" s="1173">
        <v>0</v>
      </c>
      <c r="BB59" s="1027"/>
      <c r="BC59" s="1173">
        <v>0</v>
      </c>
      <c r="BD59" s="1027"/>
      <c r="BE59" s="1173">
        <v>0</v>
      </c>
      <c r="BF59" s="1027"/>
      <c r="BG59" s="1173">
        <v>0</v>
      </c>
      <c r="BH59" s="1027"/>
      <c r="BI59" s="1173">
        <v>0</v>
      </c>
      <c r="BJ59" s="1027"/>
      <c r="BK59" s="1173">
        <v>0</v>
      </c>
      <c r="BL59" s="1027"/>
      <c r="BM59" s="1173">
        <v>0</v>
      </c>
      <c r="BN59" s="1027"/>
      <c r="BO59" s="1173">
        <v>0</v>
      </c>
      <c r="BP59" s="1027"/>
      <c r="BQ59" s="1173">
        <v>0</v>
      </c>
      <c r="BR59" s="1027"/>
      <c r="BS59" s="1173">
        <v>0</v>
      </c>
      <c r="BT59" s="1027"/>
      <c r="BU59" s="1173">
        <v>0</v>
      </c>
      <c r="BV59" s="1027"/>
      <c r="BW59" s="1173">
        <v>0</v>
      </c>
      <c r="BX59" s="1027"/>
      <c r="BY59" s="1173">
        <v>0</v>
      </c>
      <c r="BZ59" s="1027"/>
      <c r="CA59" s="1173">
        <v>0</v>
      </c>
      <c r="CB59" s="1027"/>
      <c r="CC59" s="1173">
        <v>0</v>
      </c>
      <c r="CD59" s="1027"/>
      <c r="CE59" s="1173">
        <v>0</v>
      </c>
      <c r="CF59" s="1027"/>
      <c r="CG59" s="1173">
        <v>0</v>
      </c>
      <c r="CH59" s="1027"/>
      <c r="CI59" s="293"/>
      <c r="CV59" s="762">
        <v>0</v>
      </c>
    </row>
    <row s="1639" customFormat="1" customHeight="1" ht="33.75">
      <c r="A60" s="2409"/>
      <c r="B60" s="515"/>
      <c r="D60" s="669" t="s">
        <v>91</v>
      </c>
      <c r="E60" s="670" t="s">
        <v>1088</v>
      </c>
      <c r="F60" s="725" t="s">
        <v>696</v>
      </c>
      <c r="G60" s="746"/>
      <c r="H60" s="1027"/>
      <c r="I60" s="746">
        <v>0</v>
      </c>
      <c r="J60" s="1027"/>
      <c r="K60" s="746">
        <v>0</v>
      </c>
      <c r="L60" s="1027"/>
      <c r="M60" s="746">
        <v>0</v>
      </c>
      <c r="N60" s="1027"/>
      <c r="O60" s="746">
        <v>0</v>
      </c>
      <c r="P60" s="1027"/>
      <c r="Q60" s="746">
        <v>0</v>
      </c>
      <c r="R60" s="1027"/>
      <c r="S60" s="746">
        <v>0</v>
      </c>
      <c r="T60" s="1027"/>
      <c r="U60" s="746">
        <v>0</v>
      </c>
      <c r="V60" s="1027"/>
      <c r="W60" s="746">
        <v>0</v>
      </c>
      <c r="X60" s="1027"/>
      <c r="Y60" s="746">
        <v>0</v>
      </c>
      <c r="Z60" s="1027"/>
      <c r="AA60" s="746">
        <v>0</v>
      </c>
      <c r="AB60" s="1027"/>
      <c r="AC60" s="746">
        <v>0</v>
      </c>
      <c r="AD60" s="1027"/>
      <c r="AE60" s="746">
        <v>0</v>
      </c>
      <c r="AF60" s="1027"/>
      <c r="AG60" s="746">
        <v>0</v>
      </c>
      <c r="AH60" s="1027"/>
      <c r="AI60" s="746">
        <v>0</v>
      </c>
      <c r="AJ60" s="1027"/>
      <c r="AK60" s="746">
        <v>0</v>
      </c>
      <c r="AL60" s="1027"/>
      <c r="AM60" s="746">
        <v>0</v>
      </c>
      <c r="AN60" s="1027"/>
      <c r="AO60" s="746">
        <v>0</v>
      </c>
      <c r="AP60" s="1027"/>
      <c r="AQ60" s="746">
        <v>0</v>
      </c>
      <c r="AR60" s="1027"/>
      <c r="AS60" s="746">
        <v>0</v>
      </c>
      <c r="AT60" s="1027"/>
      <c r="AU60" s="746">
        <v>0</v>
      </c>
      <c r="AV60" s="1027"/>
      <c r="AW60" s="746">
        <v>0</v>
      </c>
      <c r="AX60" s="1027"/>
      <c r="AY60" s="746">
        <v>0</v>
      </c>
      <c r="AZ60" s="1027"/>
      <c r="BA60" s="746">
        <v>0</v>
      </c>
      <c r="BB60" s="1027"/>
      <c r="BC60" s="746">
        <v>0</v>
      </c>
      <c r="BD60" s="1027"/>
      <c r="BE60" s="746">
        <v>0</v>
      </c>
      <c r="BF60" s="1027"/>
      <c r="BG60" s="746">
        <v>0</v>
      </c>
      <c r="BH60" s="1027"/>
      <c r="BI60" s="746">
        <v>0</v>
      </c>
      <c r="BJ60" s="1027"/>
      <c r="BK60" s="746">
        <v>0</v>
      </c>
      <c r="BL60" s="1027"/>
      <c r="BM60" s="746">
        <v>0</v>
      </c>
      <c r="BN60" s="1027"/>
      <c r="BO60" s="746">
        <v>100</v>
      </c>
      <c r="BP60" s="1027"/>
      <c r="BQ60" s="746">
        <v>100</v>
      </c>
      <c r="BR60" s="1027"/>
      <c r="BS60" s="746">
        <v>100</v>
      </c>
      <c r="BT60" s="1027"/>
      <c r="BU60" s="746">
        <v>0</v>
      </c>
      <c r="BV60" s="1027"/>
      <c r="BW60" s="746">
        <v>0</v>
      </c>
      <c r="BX60" s="1027"/>
      <c r="BY60" s="746">
        <v>0</v>
      </c>
      <c r="BZ60" s="1027"/>
      <c r="CA60" s="746">
        <v>0</v>
      </c>
      <c r="CB60" s="1027"/>
      <c r="CC60" s="746">
        <v>0</v>
      </c>
      <c r="CD60" s="1027"/>
      <c r="CE60" s="746">
        <v>0</v>
      </c>
      <c r="CF60" s="1027"/>
      <c r="CG60" s="746">
        <v>0</v>
      </c>
      <c r="CH60" s="1027"/>
      <c r="CI60" s="306" t="s">
        <v>1089</v>
      </c>
      <c r="CV60" s="762">
        <v>0</v>
      </c>
    </row>
    <row s="1639" customFormat="1" customHeight="1" ht="33.75">
      <c r="A61" s="2409"/>
      <c r="B61" s="515"/>
      <c r="D61" s="669" t="s">
        <v>92</v>
      </c>
      <c r="E61" s="670" t="s">
        <v>1090</v>
      </c>
      <c r="F61" s="730" t="s">
        <v>1020</v>
      </c>
      <c r="G61" s="672"/>
      <c r="H61" s="1027"/>
      <c r="I61" s="672">
        <v>0</v>
      </c>
      <c r="J61" s="1027"/>
      <c r="K61" s="1173">
        <v>0</v>
      </c>
      <c r="L61" s="1027"/>
      <c r="M61" s="1173">
        <v>0</v>
      </c>
      <c r="N61" s="1027"/>
      <c r="O61" s="1173">
        <v>0</v>
      </c>
      <c r="P61" s="1027"/>
      <c r="Q61" s="1173">
        <v>0</v>
      </c>
      <c r="R61" s="1027"/>
      <c r="S61" s="1173">
        <v>0</v>
      </c>
      <c r="T61" s="1027"/>
      <c r="U61" s="1173">
        <v>0</v>
      </c>
      <c r="V61" s="1027"/>
      <c r="W61" s="1173">
        <v>0</v>
      </c>
      <c r="X61" s="1027"/>
      <c r="Y61" s="1173">
        <v>0</v>
      </c>
      <c r="Z61" s="1027"/>
      <c r="AA61" s="1173">
        <v>0</v>
      </c>
      <c r="AB61" s="1027"/>
      <c r="AC61" s="1173">
        <v>0</v>
      </c>
      <c r="AD61" s="1027"/>
      <c r="AE61" s="1173">
        <v>0</v>
      </c>
      <c r="AF61" s="1027"/>
      <c r="AG61" s="1173">
        <v>0</v>
      </c>
      <c r="AH61" s="1027"/>
      <c r="AI61" s="1173">
        <v>0</v>
      </c>
      <c r="AJ61" s="1027"/>
      <c r="AK61" s="1173">
        <v>0</v>
      </c>
      <c r="AL61" s="1027"/>
      <c r="AM61" s="1173">
        <v>0</v>
      </c>
      <c r="AN61" s="1027"/>
      <c r="AO61" s="1173">
        <v>0</v>
      </c>
      <c r="AP61" s="1027"/>
      <c r="AQ61" s="1173">
        <v>0</v>
      </c>
      <c r="AR61" s="1027"/>
      <c r="AS61" s="1173">
        <v>0</v>
      </c>
      <c r="AT61" s="1027"/>
      <c r="AU61" s="1173">
        <v>0</v>
      </c>
      <c r="AV61" s="1027"/>
      <c r="AW61" s="1173">
        <v>0</v>
      </c>
      <c r="AX61" s="1027"/>
      <c r="AY61" s="1173">
        <v>0</v>
      </c>
      <c r="AZ61" s="1027"/>
      <c r="BA61" s="1173">
        <v>0</v>
      </c>
      <c r="BB61" s="1027"/>
      <c r="BC61" s="1173">
        <v>0</v>
      </c>
      <c r="BD61" s="1027"/>
      <c r="BE61" s="1173">
        <v>0</v>
      </c>
      <c r="BF61" s="1027"/>
      <c r="BG61" s="1173">
        <v>0</v>
      </c>
      <c r="BH61" s="1027"/>
      <c r="BI61" s="1173">
        <v>0</v>
      </c>
      <c r="BJ61" s="1027"/>
      <c r="BK61" s="1173">
        <v>0</v>
      </c>
      <c r="BL61" s="1027"/>
      <c r="BM61" s="1173">
        <v>0</v>
      </c>
      <c r="BN61" s="1027"/>
      <c r="BO61" s="1173">
        <v>25</v>
      </c>
      <c r="BP61" s="1027"/>
      <c r="BQ61" s="1173">
        <v>25</v>
      </c>
      <c r="BR61" s="1027"/>
      <c r="BS61" s="1173">
        <v>25</v>
      </c>
      <c r="BT61" s="1027"/>
      <c r="BU61" s="1173">
        <v>0</v>
      </c>
      <c r="BV61" s="1027"/>
      <c r="BW61" s="1173">
        <v>0</v>
      </c>
      <c r="BX61" s="1027"/>
      <c r="BY61" s="1173">
        <v>0</v>
      </c>
      <c r="BZ61" s="1027"/>
      <c r="CA61" s="1173">
        <v>0</v>
      </c>
      <c r="CB61" s="1027"/>
      <c r="CC61" s="1173">
        <v>0</v>
      </c>
      <c r="CD61" s="1027"/>
      <c r="CE61" s="1173">
        <v>0</v>
      </c>
      <c r="CF61" s="1027"/>
      <c r="CG61" s="1173">
        <v>0</v>
      </c>
      <c r="CH61" s="1027"/>
      <c r="CI61" s="293"/>
      <c r="CV61" s="762">
        <v>0</v>
      </c>
    </row>
    <row s="1639" customFormat="1" customHeight="1" ht="22.5">
      <c r="A62" s="2409"/>
      <c r="B62" s="515" t="s">
        <v>724</v>
      </c>
      <c r="D62" s="669" t="s">
        <v>133</v>
      </c>
      <c r="E62" s="670" t="s">
        <v>1091</v>
      </c>
      <c r="F62" s="730" t="s">
        <v>444</v>
      </c>
      <c r="G62" s="386"/>
      <c r="H62" s="1027"/>
      <c r="I62" s="386" t="s">
        <v>1092</v>
      </c>
      <c r="J62" s="1027"/>
      <c r="K62" s="1168" t="s">
        <v>1092</v>
      </c>
      <c r="L62" s="1027"/>
      <c r="M62" s="1168" t="s">
        <v>1092</v>
      </c>
      <c r="N62" s="1027"/>
      <c r="O62" s="1168" t="s">
        <v>1092</v>
      </c>
      <c r="P62" s="1027"/>
      <c r="Q62" s="1168" t="s">
        <v>1092</v>
      </c>
      <c r="R62" s="1027"/>
      <c r="S62" s="1168" t="s">
        <v>1092</v>
      </c>
      <c r="T62" s="1027"/>
      <c r="U62" s="1168" t="s">
        <v>1092</v>
      </c>
      <c r="V62" s="1027"/>
      <c r="W62" s="1168" t="s">
        <v>1092</v>
      </c>
      <c r="X62" s="1027"/>
      <c r="Y62" s="1168" t="s">
        <v>1092</v>
      </c>
      <c r="Z62" s="1027"/>
      <c r="AA62" s="1168" t="s">
        <v>1092</v>
      </c>
      <c r="AB62" s="1027"/>
      <c r="AC62" s="1168" t="s">
        <v>1092</v>
      </c>
      <c r="AD62" s="1027"/>
      <c r="AE62" s="1168" t="s">
        <v>1092</v>
      </c>
      <c r="AF62" s="1027"/>
      <c r="AG62" s="1168" t="s">
        <v>1092</v>
      </c>
      <c r="AH62" s="1027"/>
      <c r="AI62" s="1168" t="s">
        <v>1092</v>
      </c>
      <c r="AJ62" s="1027"/>
      <c r="AK62" s="1168" t="s">
        <v>1092</v>
      </c>
      <c r="AL62" s="1027"/>
      <c r="AM62" s="1168" t="s">
        <v>1092</v>
      </c>
      <c r="AN62" s="1027"/>
      <c r="AO62" s="1168" t="s">
        <v>1092</v>
      </c>
      <c r="AP62" s="1027"/>
      <c r="AQ62" s="1168" t="s">
        <v>1092</v>
      </c>
      <c r="AR62" s="1027"/>
      <c r="AS62" s="1168" t="s">
        <v>1092</v>
      </c>
      <c r="AT62" s="1027"/>
      <c r="AU62" s="1168" t="s">
        <v>1092</v>
      </c>
      <c r="AV62" s="1027"/>
      <c r="AW62" s="1168" t="s">
        <v>1092</v>
      </c>
      <c r="AX62" s="1027"/>
      <c r="AY62" s="1168" t="s">
        <v>1092</v>
      </c>
      <c r="AZ62" s="1027"/>
      <c r="BA62" s="1168" t="s">
        <v>1092</v>
      </c>
      <c r="BB62" s="1027"/>
      <c r="BC62" s="1168" t="s">
        <v>1092</v>
      </c>
      <c r="BD62" s="1027"/>
      <c r="BE62" s="1168" t="s">
        <v>1092</v>
      </c>
      <c r="BF62" s="1027"/>
      <c r="BG62" s="1168" t="s">
        <v>1092</v>
      </c>
      <c r="BH62" s="1027"/>
      <c r="BI62" s="1168" t="s">
        <v>1092</v>
      </c>
      <c r="BJ62" s="1027"/>
      <c r="BK62" s="1168" t="s">
        <v>1092</v>
      </c>
      <c r="BL62" s="1027"/>
      <c r="BM62" s="1168" t="s">
        <v>1092</v>
      </c>
      <c r="BN62" s="1027"/>
      <c r="BO62" s="1168" t="s">
        <v>1092</v>
      </c>
      <c r="BP62" s="1027"/>
      <c r="BQ62" s="1168" t="s">
        <v>1092</v>
      </c>
      <c r="BR62" s="1027"/>
      <c r="BS62" s="1168" t="s">
        <v>1092</v>
      </c>
      <c r="BT62" s="1027"/>
      <c r="BU62" s="1168" t="s">
        <v>1092</v>
      </c>
      <c r="BV62" s="1027"/>
      <c r="BW62" s="1168" t="s">
        <v>1092</v>
      </c>
      <c r="BX62" s="1027"/>
      <c r="BY62" s="1168" t="s">
        <v>1092</v>
      </c>
      <c r="BZ62" s="1027"/>
      <c r="CA62" s="1168" t="s">
        <v>1092</v>
      </c>
      <c r="CB62" s="1027"/>
      <c r="CC62" s="1168" t="s">
        <v>1092</v>
      </c>
      <c r="CD62" s="1027"/>
      <c r="CE62" s="1168" t="s">
        <v>1092</v>
      </c>
      <c r="CF62" s="1027"/>
      <c r="CG62" s="1168" t="s">
        <v>1092</v>
      </c>
      <c r="CH62" s="1027"/>
      <c r="CI62" s="293" t="s">
        <v>814</v>
      </c>
      <c r="CV62" s="762">
        <v>0</v>
      </c>
    </row>
    <row s="1639" customFormat="1" customHeight="1" ht="45">
      <c r="A63" s="2409"/>
      <c r="B63" s="515" t="s">
        <v>724</v>
      </c>
      <c r="D63" s="669" t="s">
        <v>1093</v>
      </c>
      <c r="E63" s="671" t="s">
        <v>1094</v>
      </c>
      <c r="F63" s="725" t="s">
        <v>444</v>
      </c>
      <c r="G63" s="386"/>
      <c r="H63" s="1027"/>
      <c r="I63" s="386" t="s">
        <v>1092</v>
      </c>
      <c r="J63" s="1027"/>
      <c r="K63" s="1168" t="s">
        <v>1092</v>
      </c>
      <c r="L63" s="1027"/>
      <c r="M63" s="1168" t="s">
        <v>1092</v>
      </c>
      <c r="N63" s="1027"/>
      <c r="O63" s="1168" t="s">
        <v>1092</v>
      </c>
      <c r="P63" s="1027"/>
      <c r="Q63" s="1168" t="s">
        <v>1092</v>
      </c>
      <c r="R63" s="1027"/>
      <c r="S63" s="1168" t="s">
        <v>1092</v>
      </c>
      <c r="T63" s="1027"/>
      <c r="U63" s="1168" t="s">
        <v>1092</v>
      </c>
      <c r="V63" s="1027"/>
      <c r="W63" s="1168" t="s">
        <v>1092</v>
      </c>
      <c r="X63" s="1027"/>
      <c r="Y63" s="1168" t="s">
        <v>1092</v>
      </c>
      <c r="Z63" s="1027"/>
      <c r="AA63" s="1168" t="s">
        <v>1092</v>
      </c>
      <c r="AB63" s="1027"/>
      <c r="AC63" s="1168" t="s">
        <v>1092</v>
      </c>
      <c r="AD63" s="1027"/>
      <c r="AE63" s="1168" t="s">
        <v>1092</v>
      </c>
      <c r="AF63" s="1027"/>
      <c r="AG63" s="1168" t="s">
        <v>1092</v>
      </c>
      <c r="AH63" s="1027"/>
      <c r="AI63" s="1168" t="s">
        <v>1092</v>
      </c>
      <c r="AJ63" s="1027"/>
      <c r="AK63" s="1168" t="s">
        <v>1092</v>
      </c>
      <c r="AL63" s="1027"/>
      <c r="AM63" s="1168" t="s">
        <v>1092</v>
      </c>
      <c r="AN63" s="1027"/>
      <c r="AO63" s="1168" t="s">
        <v>1092</v>
      </c>
      <c r="AP63" s="1027"/>
      <c r="AQ63" s="1168" t="s">
        <v>1092</v>
      </c>
      <c r="AR63" s="1027"/>
      <c r="AS63" s="1168" t="s">
        <v>1092</v>
      </c>
      <c r="AT63" s="1027"/>
      <c r="AU63" s="1168" t="s">
        <v>1092</v>
      </c>
      <c r="AV63" s="1027"/>
      <c r="AW63" s="1168" t="s">
        <v>1092</v>
      </c>
      <c r="AX63" s="1027"/>
      <c r="AY63" s="1168" t="s">
        <v>1092</v>
      </c>
      <c r="AZ63" s="1027"/>
      <c r="BA63" s="1168" t="s">
        <v>1092</v>
      </c>
      <c r="BB63" s="1027"/>
      <c r="BC63" s="1168" t="s">
        <v>1092</v>
      </c>
      <c r="BD63" s="1027"/>
      <c r="BE63" s="1168" t="s">
        <v>1092</v>
      </c>
      <c r="BF63" s="1027"/>
      <c r="BG63" s="1168" t="s">
        <v>1092</v>
      </c>
      <c r="BH63" s="1027"/>
      <c r="BI63" s="1168" t="s">
        <v>1092</v>
      </c>
      <c r="BJ63" s="1027"/>
      <c r="BK63" s="1168" t="s">
        <v>1092</v>
      </c>
      <c r="BL63" s="1027"/>
      <c r="BM63" s="1168" t="s">
        <v>1092</v>
      </c>
      <c r="BN63" s="1027"/>
      <c r="BO63" s="1168" t="s">
        <v>1092</v>
      </c>
      <c r="BP63" s="1027"/>
      <c r="BQ63" s="1168" t="s">
        <v>1092</v>
      </c>
      <c r="BR63" s="1027"/>
      <c r="BS63" s="1168" t="s">
        <v>1092</v>
      </c>
      <c r="BT63" s="1027"/>
      <c r="BU63" s="1168" t="s">
        <v>1092</v>
      </c>
      <c r="BV63" s="1027"/>
      <c r="BW63" s="1168" t="s">
        <v>1092</v>
      </c>
      <c r="BX63" s="1027"/>
      <c r="BY63" s="1168" t="s">
        <v>1092</v>
      </c>
      <c r="BZ63" s="1027"/>
      <c r="CA63" s="1168" t="s">
        <v>1092</v>
      </c>
      <c r="CB63" s="1027"/>
      <c r="CC63" s="1168" t="s">
        <v>1092</v>
      </c>
      <c r="CD63" s="1027"/>
      <c r="CE63" s="1168" t="s">
        <v>1092</v>
      </c>
      <c r="CF63" s="1027"/>
      <c r="CG63" s="1168" t="s">
        <v>1092</v>
      </c>
      <c r="CH63" s="1027"/>
      <c r="CI63" s="293" t="s">
        <v>814</v>
      </c>
      <c r="CV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639"/>
      <c r="BW64" s="1639"/>
      <c r="BX64" s="1639"/>
      <c r="BY64" s="1639"/>
      <c r="BZ64" s="1639"/>
      <c r="CA64" s="1639"/>
      <c r="CB64" s="1639"/>
      <c r="CC64" s="1639"/>
      <c r="CD64" s="1639"/>
      <c r="CE64" s="1639"/>
      <c r="CF64" s="1639"/>
      <c r="CG64" s="1639"/>
      <c r="CH64" s="1639"/>
      <c r="CV64" s="513">
        <v>11</v>
      </c>
    </row>
    <row s="1639" customFormat="1" customHeight="1" ht="22.5" hidden="1">
      <c r="A65" s="2409" t="s">
        <v>1095</v>
      </c>
      <c r="B65" s="515"/>
      <c r="D65" s="669">
        <v>1</v>
      </c>
      <c r="E65" s="748" t="s">
        <v>1096</v>
      </c>
      <c r="F65" s="744" t="s">
        <v>1010</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745"/>
      <c r="AN65" s="1033"/>
      <c r="AO65" s="745"/>
      <c r="AP65" s="1033"/>
      <c r="AQ65" s="745"/>
      <c r="AR65" s="1033"/>
      <c r="AS65" s="745"/>
      <c r="AT65" s="1033"/>
      <c r="AU65" s="745"/>
      <c r="AV65" s="1033"/>
      <c r="AW65" s="745"/>
      <c r="AX65" s="1033"/>
      <c r="AY65" s="745"/>
      <c r="AZ65" s="1033"/>
      <c r="BA65" s="745"/>
      <c r="BB65" s="1033"/>
      <c r="BC65" s="745"/>
      <c r="BD65" s="1033"/>
      <c r="BE65" s="745"/>
      <c r="BF65" s="1033"/>
      <c r="BG65" s="745"/>
      <c r="BH65" s="1033"/>
      <c r="BI65" s="745"/>
      <c r="BJ65" s="1033"/>
      <c r="BK65" s="745"/>
      <c r="BL65" s="1033"/>
      <c r="BM65" s="745"/>
      <c r="BN65" s="1033"/>
      <c r="BO65" s="745"/>
      <c r="BP65" s="1033"/>
      <c r="BQ65" s="745"/>
      <c r="BR65" s="1033"/>
      <c r="BS65" s="745"/>
      <c r="BT65" s="1033"/>
      <c r="BU65" s="745"/>
      <c r="BV65" s="1033"/>
      <c r="BW65" s="745"/>
      <c r="BX65" s="1033"/>
      <c r="BY65" s="745"/>
      <c r="BZ65" s="1033"/>
      <c r="CA65" s="745"/>
      <c r="CB65" s="1033"/>
      <c r="CC65" s="745"/>
      <c r="CD65" s="1033"/>
      <c r="CE65" s="745"/>
      <c r="CF65" s="1033"/>
      <c r="CG65" s="745"/>
      <c r="CH65" s="1033"/>
      <c r="CI65" s="305" t="s">
        <v>1097</v>
      </c>
      <c r="CV65" s="762">
        <v>0</v>
      </c>
    </row>
    <row s="1639" customFormat="1" customHeight="1" ht="56.25" hidden="1">
      <c r="A66" s="2409"/>
      <c r="B66" s="515"/>
      <c r="D66" s="747" t="s">
        <v>102</v>
      </c>
      <c r="E66" s="711" t="s">
        <v>1098</v>
      </c>
      <c r="F66" s="664" t="s">
        <v>684</v>
      </c>
      <c r="G66" s="664" t="s">
        <v>684</v>
      </c>
      <c r="H66" s="523"/>
      <c r="I66" s="664" t="s">
        <v>684</v>
      </c>
      <c r="J66" s="523"/>
      <c r="K66" s="2121" t="s">
        <v>684</v>
      </c>
      <c r="L66" s="523"/>
      <c r="M66" s="2121" t="s">
        <v>684</v>
      </c>
      <c r="N66" s="523"/>
      <c r="O66" s="2121" t="s">
        <v>684</v>
      </c>
      <c r="P66" s="523"/>
      <c r="Q66" s="2121" t="s">
        <v>684</v>
      </c>
      <c r="R66" s="523"/>
      <c r="S66" s="2121" t="s">
        <v>684</v>
      </c>
      <c r="T66" s="523"/>
      <c r="U66" s="2121" t="s">
        <v>684</v>
      </c>
      <c r="V66" s="523"/>
      <c r="W66" s="2121" t="s">
        <v>684</v>
      </c>
      <c r="X66" s="523"/>
      <c r="Y66" s="2121" t="s">
        <v>684</v>
      </c>
      <c r="Z66" s="523"/>
      <c r="AA66" s="2121" t="s">
        <v>684</v>
      </c>
      <c r="AB66" s="523"/>
      <c r="AC66" s="2121" t="s">
        <v>684</v>
      </c>
      <c r="AD66" s="523"/>
      <c r="AE66" s="2121" t="s">
        <v>684</v>
      </c>
      <c r="AF66" s="523"/>
      <c r="AG66" s="2121" t="s">
        <v>684</v>
      </c>
      <c r="AH66" s="523"/>
      <c r="AI66" s="2121" t="s">
        <v>684</v>
      </c>
      <c r="AJ66" s="523"/>
      <c r="AK66" s="2121" t="s">
        <v>684</v>
      </c>
      <c r="AL66" s="523"/>
      <c r="AM66" s="2121" t="s">
        <v>684</v>
      </c>
      <c r="AN66" s="523"/>
      <c r="AO66" s="2121" t="s">
        <v>684</v>
      </c>
      <c r="AP66" s="523"/>
      <c r="AQ66" s="2121" t="s">
        <v>684</v>
      </c>
      <c r="AR66" s="523"/>
      <c r="AS66" s="2121" t="s">
        <v>684</v>
      </c>
      <c r="AT66" s="523"/>
      <c r="AU66" s="2121" t="s">
        <v>684</v>
      </c>
      <c r="AV66" s="523"/>
      <c r="AW66" s="2121" t="s">
        <v>684</v>
      </c>
      <c r="AX66" s="523"/>
      <c r="AY66" s="2121" t="s">
        <v>684</v>
      </c>
      <c r="AZ66" s="523"/>
      <c r="BA66" s="2121" t="s">
        <v>684</v>
      </c>
      <c r="BB66" s="523"/>
      <c r="BC66" s="2121" t="s">
        <v>684</v>
      </c>
      <c r="BD66" s="523"/>
      <c r="BE66" s="2121" t="s">
        <v>684</v>
      </c>
      <c r="BF66" s="523"/>
      <c r="BG66" s="2121" t="s">
        <v>684</v>
      </c>
      <c r="BH66" s="523"/>
      <c r="BI66" s="2121" t="s">
        <v>684</v>
      </c>
      <c r="BJ66" s="523"/>
      <c r="BK66" s="2121" t="s">
        <v>684</v>
      </c>
      <c r="BL66" s="523"/>
      <c r="BM66" s="2121" t="s">
        <v>684</v>
      </c>
      <c r="BN66" s="523"/>
      <c r="BO66" s="2121" t="s">
        <v>684</v>
      </c>
      <c r="BP66" s="523"/>
      <c r="BQ66" s="2121" t="s">
        <v>684</v>
      </c>
      <c r="BR66" s="523"/>
      <c r="BS66" s="2121" t="s">
        <v>684</v>
      </c>
      <c r="BT66" s="523"/>
      <c r="BU66" s="2121" t="s">
        <v>684</v>
      </c>
      <c r="BV66" s="523"/>
      <c r="BW66" s="2121" t="s">
        <v>684</v>
      </c>
      <c r="BX66" s="523"/>
      <c r="BY66" s="2121" t="s">
        <v>684</v>
      </c>
      <c r="BZ66" s="523"/>
      <c r="CA66" s="2121" t="s">
        <v>684</v>
      </c>
      <c r="CB66" s="523"/>
      <c r="CC66" s="2121" t="s">
        <v>684</v>
      </c>
      <c r="CD66" s="523"/>
      <c r="CE66" s="2121" t="s">
        <v>684</v>
      </c>
      <c r="CF66" s="523"/>
      <c r="CG66" s="2121" t="s">
        <v>684</v>
      </c>
      <c r="CH66" s="523"/>
      <c r="CI66" s="293"/>
      <c r="CV66" s="762">
        <v>0</v>
      </c>
    </row>
    <row s="1639" customFormat="1" customHeight="1" ht="33.75" hidden="1">
      <c r="A67" s="2409"/>
      <c r="B67" s="515"/>
      <c r="D67" s="747" t="s">
        <v>891</v>
      </c>
      <c r="E67" s="958" t="s">
        <v>1099</v>
      </c>
      <c r="F67" s="664" t="s">
        <v>1062</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731"/>
      <c r="AN67" s="523"/>
      <c r="AO67" s="731"/>
      <c r="AP67" s="523"/>
      <c r="AQ67" s="731"/>
      <c r="AR67" s="523"/>
      <c r="AS67" s="731"/>
      <c r="AT67" s="523"/>
      <c r="AU67" s="731"/>
      <c r="AV67" s="523"/>
      <c r="AW67" s="731"/>
      <c r="AX67" s="523"/>
      <c r="AY67" s="731"/>
      <c r="AZ67" s="523"/>
      <c r="BA67" s="731"/>
      <c r="BB67" s="523"/>
      <c r="BC67" s="731"/>
      <c r="BD67" s="523"/>
      <c r="BE67" s="731"/>
      <c r="BF67" s="523"/>
      <c r="BG67" s="731"/>
      <c r="BH67" s="523"/>
      <c r="BI67" s="731"/>
      <c r="BJ67" s="523"/>
      <c r="BK67" s="731"/>
      <c r="BL67" s="523"/>
      <c r="BM67" s="731"/>
      <c r="BN67" s="523"/>
      <c r="BO67" s="731"/>
      <c r="BP67" s="523"/>
      <c r="BQ67" s="731"/>
      <c r="BR67" s="523"/>
      <c r="BS67" s="731"/>
      <c r="BT67" s="523"/>
      <c r="BU67" s="731"/>
      <c r="BV67" s="523"/>
      <c r="BW67" s="731"/>
      <c r="BX67" s="523"/>
      <c r="BY67" s="731"/>
      <c r="BZ67" s="523"/>
      <c r="CA67" s="731"/>
      <c r="CB67" s="523"/>
      <c r="CC67" s="731"/>
      <c r="CD67" s="523"/>
      <c r="CE67" s="731"/>
      <c r="CF67" s="523"/>
      <c r="CG67" s="731"/>
      <c r="CH67" s="523"/>
      <c r="CI67" s="293"/>
      <c r="CV67" s="762">
        <v>0</v>
      </c>
    </row>
    <row s="1639" customFormat="1" customHeight="1" ht="22.5" hidden="1">
      <c r="A68" s="2409"/>
      <c r="B68" s="515"/>
      <c r="D68" s="747" t="s">
        <v>445</v>
      </c>
      <c r="E68" s="958" t="s">
        <v>1100</v>
      </c>
      <c r="F68" s="664" t="s">
        <v>1062</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731"/>
      <c r="AN68" s="523"/>
      <c r="AO68" s="731"/>
      <c r="AP68" s="523"/>
      <c r="AQ68" s="731"/>
      <c r="AR68" s="523"/>
      <c r="AS68" s="731"/>
      <c r="AT68" s="523"/>
      <c r="AU68" s="731"/>
      <c r="AV68" s="523"/>
      <c r="AW68" s="731"/>
      <c r="AX68" s="523"/>
      <c r="AY68" s="731"/>
      <c r="AZ68" s="523"/>
      <c r="BA68" s="731"/>
      <c r="BB68" s="523"/>
      <c r="BC68" s="731"/>
      <c r="BD68" s="523"/>
      <c r="BE68" s="731"/>
      <c r="BF68" s="523"/>
      <c r="BG68" s="731"/>
      <c r="BH68" s="523"/>
      <c r="BI68" s="731"/>
      <c r="BJ68" s="523"/>
      <c r="BK68" s="731"/>
      <c r="BL68" s="523"/>
      <c r="BM68" s="731"/>
      <c r="BN68" s="523"/>
      <c r="BO68" s="731"/>
      <c r="BP68" s="523"/>
      <c r="BQ68" s="731"/>
      <c r="BR68" s="523"/>
      <c r="BS68" s="731"/>
      <c r="BT68" s="523"/>
      <c r="BU68" s="731"/>
      <c r="BV68" s="523"/>
      <c r="BW68" s="731"/>
      <c r="BX68" s="523"/>
      <c r="BY68" s="731"/>
      <c r="BZ68" s="523"/>
      <c r="CA68" s="731"/>
      <c r="CB68" s="523"/>
      <c r="CC68" s="731"/>
      <c r="CD68" s="523"/>
      <c r="CE68" s="731"/>
      <c r="CF68" s="523"/>
      <c r="CG68" s="731"/>
      <c r="CH68" s="523"/>
      <c r="CI68" s="293"/>
      <c r="CV68" s="762">
        <v>0</v>
      </c>
    </row>
    <row s="1639" customFormat="1" customHeight="1" ht="22.5" hidden="1">
      <c r="A69" s="2409"/>
      <c r="B69" s="515"/>
      <c r="D69" s="747" t="s">
        <v>448</v>
      </c>
      <c r="E69" s="958" t="s">
        <v>1101</v>
      </c>
      <c r="F69" s="725" t="s">
        <v>696</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746"/>
      <c r="AN69" s="523"/>
      <c r="AO69" s="746"/>
      <c r="AP69" s="523"/>
      <c r="AQ69" s="746"/>
      <c r="AR69" s="523"/>
      <c r="AS69" s="746"/>
      <c r="AT69" s="523"/>
      <c r="AU69" s="746"/>
      <c r="AV69" s="523"/>
      <c r="AW69" s="746"/>
      <c r="AX69" s="523"/>
      <c r="AY69" s="746"/>
      <c r="AZ69" s="523"/>
      <c r="BA69" s="746"/>
      <c r="BB69" s="523"/>
      <c r="BC69" s="746"/>
      <c r="BD69" s="523"/>
      <c r="BE69" s="746"/>
      <c r="BF69" s="523"/>
      <c r="BG69" s="746"/>
      <c r="BH69" s="523"/>
      <c r="BI69" s="746"/>
      <c r="BJ69" s="523"/>
      <c r="BK69" s="746"/>
      <c r="BL69" s="523"/>
      <c r="BM69" s="746"/>
      <c r="BN69" s="523"/>
      <c r="BO69" s="746"/>
      <c r="BP69" s="523"/>
      <c r="BQ69" s="746"/>
      <c r="BR69" s="523"/>
      <c r="BS69" s="746"/>
      <c r="BT69" s="523"/>
      <c r="BU69" s="746"/>
      <c r="BV69" s="523"/>
      <c r="BW69" s="746"/>
      <c r="BX69" s="523"/>
      <c r="BY69" s="746"/>
      <c r="BZ69" s="523"/>
      <c r="CA69" s="746"/>
      <c r="CB69" s="523"/>
      <c r="CC69" s="746"/>
      <c r="CD69" s="523"/>
      <c r="CE69" s="746"/>
      <c r="CF69" s="523"/>
      <c r="CG69" s="746"/>
      <c r="CH69" s="523"/>
      <c r="CI69" s="293"/>
      <c r="CV69" s="762">
        <v>0</v>
      </c>
    </row>
    <row s="1639" customFormat="1" customHeight="1" ht="22.5" hidden="1">
      <c r="A70" s="2409"/>
      <c r="B70" s="515"/>
      <c r="D70" s="747" t="s">
        <v>911</v>
      </c>
      <c r="E70" s="958" t="s">
        <v>1102</v>
      </c>
      <c r="F70" s="725" t="s">
        <v>696</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746"/>
      <c r="AN70" s="523"/>
      <c r="AO70" s="746"/>
      <c r="AP70" s="523"/>
      <c r="AQ70" s="746"/>
      <c r="AR70" s="523"/>
      <c r="AS70" s="746"/>
      <c r="AT70" s="523"/>
      <c r="AU70" s="746"/>
      <c r="AV70" s="523"/>
      <c r="AW70" s="746"/>
      <c r="AX70" s="523"/>
      <c r="AY70" s="746"/>
      <c r="AZ70" s="523"/>
      <c r="BA70" s="746"/>
      <c r="BB70" s="523"/>
      <c r="BC70" s="746"/>
      <c r="BD70" s="523"/>
      <c r="BE70" s="746"/>
      <c r="BF70" s="523"/>
      <c r="BG70" s="746"/>
      <c r="BH70" s="523"/>
      <c r="BI70" s="746"/>
      <c r="BJ70" s="523"/>
      <c r="BK70" s="746"/>
      <c r="BL70" s="523"/>
      <c r="BM70" s="746"/>
      <c r="BN70" s="523"/>
      <c r="BO70" s="746"/>
      <c r="BP70" s="523"/>
      <c r="BQ70" s="746"/>
      <c r="BR70" s="523"/>
      <c r="BS70" s="746"/>
      <c r="BT70" s="523"/>
      <c r="BU70" s="746"/>
      <c r="BV70" s="523"/>
      <c r="BW70" s="746"/>
      <c r="BX70" s="523"/>
      <c r="BY70" s="746"/>
      <c r="BZ70" s="523"/>
      <c r="CA70" s="746"/>
      <c r="CB70" s="523"/>
      <c r="CC70" s="746"/>
      <c r="CD70" s="523"/>
      <c r="CE70" s="746"/>
      <c r="CF70" s="523"/>
      <c r="CG70" s="746"/>
      <c r="CH70" s="523"/>
      <c r="CI70" s="293"/>
      <c r="CV70" s="762">
        <v>0</v>
      </c>
    </row>
    <row s="1639" customFormat="1" customHeight="1" ht="22.5" hidden="1">
      <c r="A71" s="2409"/>
      <c r="B71" s="515"/>
      <c r="D71" s="669" t="s">
        <v>89</v>
      </c>
      <c r="E71" s="670" t="s">
        <v>1103</v>
      </c>
      <c r="F71" s="664" t="s">
        <v>1062</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561"/>
      <c r="AN71" s="1034"/>
      <c r="AO71" s="561"/>
      <c r="AP71" s="1034"/>
      <c r="AQ71" s="561"/>
      <c r="AR71" s="1034"/>
      <c r="AS71" s="561"/>
      <c r="AT71" s="1034"/>
      <c r="AU71" s="561"/>
      <c r="AV71" s="1034"/>
      <c r="AW71" s="561"/>
      <c r="AX71" s="1034"/>
      <c r="AY71" s="561"/>
      <c r="AZ71" s="1034"/>
      <c r="BA71" s="561"/>
      <c r="BB71" s="1034"/>
      <c r="BC71" s="561"/>
      <c r="BD71" s="1034"/>
      <c r="BE71" s="561"/>
      <c r="BF71" s="1034"/>
      <c r="BG71" s="561"/>
      <c r="BH71" s="1034"/>
      <c r="BI71" s="561"/>
      <c r="BJ71" s="1034"/>
      <c r="BK71" s="561"/>
      <c r="BL71" s="1034"/>
      <c r="BM71" s="561"/>
      <c r="BN71" s="1034"/>
      <c r="BO71" s="561"/>
      <c r="BP71" s="1034"/>
      <c r="BQ71" s="561"/>
      <c r="BR71" s="1034"/>
      <c r="BS71" s="561"/>
      <c r="BT71" s="1034"/>
      <c r="BU71" s="561"/>
      <c r="BV71" s="1034"/>
      <c r="BW71" s="561"/>
      <c r="BX71" s="1034"/>
      <c r="BY71" s="561"/>
      <c r="BZ71" s="1034"/>
      <c r="CA71" s="561"/>
      <c r="CB71" s="1034"/>
      <c r="CC71" s="561"/>
      <c r="CD71" s="1034"/>
      <c r="CE71" s="561"/>
      <c r="CF71" s="1034"/>
      <c r="CG71" s="561"/>
      <c r="CH71" s="1034"/>
      <c r="CI71" s="306"/>
      <c r="CV71" s="762">
        <v>0</v>
      </c>
    </row>
    <row s="1639" customFormat="1" customHeight="1" ht="56.25" hidden="1">
      <c r="A72" s="2409"/>
      <c r="B72" s="515"/>
      <c r="D72" s="669" t="s">
        <v>90</v>
      </c>
      <c r="E72" s="670" t="s">
        <v>1104</v>
      </c>
      <c r="F72" s="725" t="s">
        <v>696</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746"/>
      <c r="AN72" s="1027"/>
      <c r="AO72" s="746"/>
      <c r="AP72" s="1027"/>
      <c r="AQ72" s="746"/>
      <c r="AR72" s="1027"/>
      <c r="AS72" s="746"/>
      <c r="AT72" s="1027"/>
      <c r="AU72" s="746"/>
      <c r="AV72" s="1027"/>
      <c r="AW72" s="746"/>
      <c r="AX72" s="1027"/>
      <c r="AY72" s="746"/>
      <c r="AZ72" s="1027"/>
      <c r="BA72" s="746"/>
      <c r="BB72" s="1027"/>
      <c r="BC72" s="746"/>
      <c r="BD72" s="1027"/>
      <c r="BE72" s="746"/>
      <c r="BF72" s="1027"/>
      <c r="BG72" s="746"/>
      <c r="BH72" s="1027"/>
      <c r="BI72" s="746"/>
      <c r="BJ72" s="1027"/>
      <c r="BK72" s="746"/>
      <c r="BL72" s="1027"/>
      <c r="BM72" s="746"/>
      <c r="BN72" s="1027"/>
      <c r="BO72" s="746"/>
      <c r="BP72" s="1027"/>
      <c r="BQ72" s="746"/>
      <c r="BR72" s="1027"/>
      <c r="BS72" s="746"/>
      <c r="BT72" s="1027"/>
      <c r="BU72" s="746"/>
      <c r="BV72" s="1027"/>
      <c r="BW72" s="746"/>
      <c r="BX72" s="1027"/>
      <c r="BY72" s="746"/>
      <c r="BZ72" s="1027"/>
      <c r="CA72" s="746"/>
      <c r="CB72" s="1027"/>
      <c r="CC72" s="746"/>
      <c r="CD72" s="1027"/>
      <c r="CE72" s="746"/>
      <c r="CF72" s="1027"/>
      <c r="CG72" s="746"/>
      <c r="CH72" s="1027"/>
      <c r="CI72" s="306"/>
      <c r="CV72" s="762">
        <v>0</v>
      </c>
    </row>
    <row s="1639" customFormat="1" customHeight="1" ht="33.75" hidden="1">
      <c r="A73" s="2409"/>
      <c r="B73" s="515"/>
      <c r="D73" s="669" t="s">
        <v>120</v>
      </c>
      <c r="E73" s="670" t="s">
        <v>1105</v>
      </c>
      <c r="F73" s="730" t="s">
        <v>1020</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1173"/>
      <c r="AN73" s="1027"/>
      <c r="AO73" s="1173"/>
      <c r="AP73" s="1027"/>
      <c r="AQ73" s="1173"/>
      <c r="AR73" s="1027"/>
      <c r="AS73" s="1173"/>
      <c r="AT73" s="1027"/>
      <c r="AU73" s="1173"/>
      <c r="AV73" s="1027"/>
      <c r="AW73" s="1173"/>
      <c r="AX73" s="1027"/>
      <c r="AY73" s="1173"/>
      <c r="AZ73" s="1027"/>
      <c r="BA73" s="1173"/>
      <c r="BB73" s="1027"/>
      <c r="BC73" s="1173"/>
      <c r="BD73" s="1027"/>
      <c r="BE73" s="1173"/>
      <c r="BF73" s="1027"/>
      <c r="BG73" s="1173"/>
      <c r="BH73" s="1027"/>
      <c r="BI73" s="1173"/>
      <c r="BJ73" s="1027"/>
      <c r="BK73" s="1173"/>
      <c r="BL73" s="1027"/>
      <c r="BM73" s="1173"/>
      <c r="BN73" s="1027"/>
      <c r="BO73" s="1173"/>
      <c r="BP73" s="1027"/>
      <c r="BQ73" s="1173"/>
      <c r="BR73" s="1027"/>
      <c r="BS73" s="1173"/>
      <c r="BT73" s="1027"/>
      <c r="BU73" s="1173"/>
      <c r="BV73" s="1027"/>
      <c r="BW73" s="1173"/>
      <c r="BX73" s="1027"/>
      <c r="BY73" s="1173"/>
      <c r="BZ73" s="1027"/>
      <c r="CA73" s="1173"/>
      <c r="CB73" s="1027"/>
      <c r="CC73" s="1173"/>
      <c r="CD73" s="1027"/>
      <c r="CE73" s="1173"/>
      <c r="CF73" s="1027"/>
      <c r="CG73" s="1173"/>
      <c r="CH73" s="1027"/>
      <c r="CI73" s="293"/>
      <c r="CV73" s="762">
        <v>0</v>
      </c>
    </row>
    <row s="1639" customFormat="1" customHeight="1" ht="22.5" hidden="1">
      <c r="A74" s="2409"/>
      <c r="B74" s="515" t="s">
        <v>724</v>
      </c>
      <c r="D74" s="669" t="s">
        <v>91</v>
      </c>
      <c r="E74" s="670" t="s">
        <v>1106</v>
      </c>
      <c r="F74" s="730" t="s">
        <v>444</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1168"/>
      <c r="AN74" s="1027"/>
      <c r="AO74" s="1168"/>
      <c r="AP74" s="1027"/>
      <c r="AQ74" s="1168"/>
      <c r="AR74" s="1027"/>
      <c r="AS74" s="1168"/>
      <c r="AT74" s="1027"/>
      <c r="AU74" s="1168"/>
      <c r="AV74" s="1027"/>
      <c r="AW74" s="1168"/>
      <c r="AX74" s="1027"/>
      <c r="AY74" s="1168"/>
      <c r="AZ74" s="1027"/>
      <c r="BA74" s="1168"/>
      <c r="BB74" s="1027"/>
      <c r="BC74" s="1168"/>
      <c r="BD74" s="1027"/>
      <c r="BE74" s="1168"/>
      <c r="BF74" s="1027"/>
      <c r="BG74" s="1168"/>
      <c r="BH74" s="1027"/>
      <c r="BI74" s="1168"/>
      <c r="BJ74" s="1027"/>
      <c r="BK74" s="1168"/>
      <c r="BL74" s="1027"/>
      <c r="BM74" s="1168"/>
      <c r="BN74" s="1027"/>
      <c r="BO74" s="1168"/>
      <c r="BP74" s="1027"/>
      <c r="BQ74" s="1168"/>
      <c r="BR74" s="1027"/>
      <c r="BS74" s="1168"/>
      <c r="BT74" s="1027"/>
      <c r="BU74" s="1168"/>
      <c r="BV74" s="1027"/>
      <c r="BW74" s="1168"/>
      <c r="BX74" s="1027"/>
      <c r="BY74" s="1168"/>
      <c r="BZ74" s="1027"/>
      <c r="CA74" s="1168"/>
      <c r="CB74" s="1027"/>
      <c r="CC74" s="1168"/>
      <c r="CD74" s="1027"/>
      <c r="CE74" s="1168"/>
      <c r="CF74" s="1027"/>
      <c r="CG74" s="1168"/>
      <c r="CH74" s="1027"/>
      <c r="CI74" s="293" t="s">
        <v>814</v>
      </c>
      <c r="CV74" s="762">
        <v>0</v>
      </c>
    </row>
    <row s="1639" customFormat="1" customHeight="1" ht="45" hidden="1">
      <c r="A75" s="2409"/>
      <c r="B75" s="515" t="s">
        <v>724</v>
      </c>
      <c r="D75" s="669" t="s">
        <v>835</v>
      </c>
      <c r="E75" s="671" t="s">
        <v>1107</v>
      </c>
      <c r="F75" s="725" t="s">
        <v>444</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1168"/>
      <c r="AN75" s="1027"/>
      <c r="AO75" s="1168"/>
      <c r="AP75" s="1027"/>
      <c r="AQ75" s="1168"/>
      <c r="AR75" s="1027"/>
      <c r="AS75" s="1168"/>
      <c r="AT75" s="1027"/>
      <c r="AU75" s="1168"/>
      <c r="AV75" s="1027"/>
      <c r="AW75" s="1168"/>
      <c r="AX75" s="1027"/>
      <c r="AY75" s="1168"/>
      <c r="AZ75" s="1027"/>
      <c r="BA75" s="1168"/>
      <c r="BB75" s="1027"/>
      <c r="BC75" s="1168"/>
      <c r="BD75" s="1027"/>
      <c r="BE75" s="1168"/>
      <c r="BF75" s="1027"/>
      <c r="BG75" s="1168"/>
      <c r="BH75" s="1027"/>
      <c r="BI75" s="1168"/>
      <c r="BJ75" s="1027"/>
      <c r="BK75" s="1168"/>
      <c r="BL75" s="1027"/>
      <c r="BM75" s="1168"/>
      <c r="BN75" s="1027"/>
      <c r="BO75" s="1168"/>
      <c r="BP75" s="1027"/>
      <c r="BQ75" s="1168"/>
      <c r="BR75" s="1027"/>
      <c r="BS75" s="1168"/>
      <c r="BT75" s="1027"/>
      <c r="BU75" s="1168"/>
      <c r="BV75" s="1027"/>
      <c r="BW75" s="1168"/>
      <c r="BX75" s="1027"/>
      <c r="BY75" s="1168"/>
      <c r="BZ75" s="1027"/>
      <c r="CA75" s="1168"/>
      <c r="CB75" s="1027"/>
      <c r="CC75" s="1168"/>
      <c r="CD75" s="1027"/>
      <c r="CE75" s="1168"/>
      <c r="CF75" s="1027"/>
      <c r="CG75" s="1168"/>
      <c r="CH75" s="1027"/>
      <c r="CI75" s="293" t="s">
        <v>814</v>
      </c>
      <c r="CV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639"/>
      <c r="CG76" s="1639"/>
      <c r="CH76" s="1639"/>
      <c r="CV76" s="513">
        <v>11</v>
      </c>
    </row>
    <row s="1639" customFormat="1" customHeight="1" ht="11.25" hidden="1">
      <c r="A77" s="2409" t="s">
        <v>1108</v>
      </c>
      <c r="B77" s="515"/>
      <c r="D77" s="669">
        <v>1</v>
      </c>
      <c r="E77" s="670" t="s">
        <v>1109</v>
      </c>
      <c r="F77" s="725" t="s">
        <v>1010</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728"/>
      <c r="AN77" s="1027"/>
      <c r="AO77" s="728"/>
      <c r="AP77" s="1027"/>
      <c r="AQ77" s="728"/>
      <c r="AR77" s="1027"/>
      <c r="AS77" s="728"/>
      <c r="AT77" s="1027"/>
      <c r="AU77" s="728"/>
      <c r="AV77" s="1027"/>
      <c r="AW77" s="728"/>
      <c r="AX77" s="1027"/>
      <c r="AY77" s="728"/>
      <c r="AZ77" s="1027"/>
      <c r="BA77" s="728"/>
      <c r="BB77" s="1027"/>
      <c r="BC77" s="728"/>
      <c r="BD77" s="1027"/>
      <c r="BE77" s="728"/>
      <c r="BF77" s="1027"/>
      <c r="BG77" s="728"/>
      <c r="BH77" s="1027"/>
      <c r="BI77" s="728"/>
      <c r="BJ77" s="1027"/>
      <c r="BK77" s="728"/>
      <c r="BL77" s="1027"/>
      <c r="BM77" s="728"/>
      <c r="BN77" s="1027"/>
      <c r="BO77" s="728"/>
      <c r="BP77" s="1027"/>
      <c r="BQ77" s="728"/>
      <c r="BR77" s="1027"/>
      <c r="BS77" s="728"/>
      <c r="BT77" s="1027"/>
      <c r="BU77" s="728"/>
      <c r="BV77" s="1027"/>
      <c r="BW77" s="728"/>
      <c r="BX77" s="1027"/>
      <c r="BY77" s="728"/>
      <c r="BZ77" s="1027"/>
      <c r="CA77" s="728"/>
      <c r="CB77" s="1027"/>
      <c r="CC77" s="728"/>
      <c r="CD77" s="1027"/>
      <c r="CE77" s="728"/>
      <c r="CF77" s="1027"/>
      <c r="CG77" s="728"/>
      <c r="CH77" s="1027"/>
      <c r="CI77" s="293" t="s">
        <v>1110</v>
      </c>
      <c r="CV77" s="762">
        <v>0</v>
      </c>
    </row>
    <row s="1639" customFormat="1" customHeight="1" ht="11.25" hidden="1">
      <c r="A78" s="2409"/>
      <c r="B78" s="515"/>
      <c r="D78" s="669" t="s">
        <v>102</v>
      </c>
      <c r="E78" s="670" t="s">
        <v>1111</v>
      </c>
      <c r="F78" s="725" t="s">
        <v>1010</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728"/>
      <c r="AN78" s="1027"/>
      <c r="AO78" s="728"/>
      <c r="AP78" s="1027"/>
      <c r="AQ78" s="728"/>
      <c r="AR78" s="1027"/>
      <c r="AS78" s="728"/>
      <c r="AT78" s="1027"/>
      <c r="AU78" s="728"/>
      <c r="AV78" s="1027"/>
      <c r="AW78" s="728"/>
      <c r="AX78" s="1027"/>
      <c r="AY78" s="728"/>
      <c r="AZ78" s="1027"/>
      <c r="BA78" s="728"/>
      <c r="BB78" s="1027"/>
      <c r="BC78" s="728"/>
      <c r="BD78" s="1027"/>
      <c r="BE78" s="728"/>
      <c r="BF78" s="1027"/>
      <c r="BG78" s="728"/>
      <c r="BH78" s="1027"/>
      <c r="BI78" s="728"/>
      <c r="BJ78" s="1027"/>
      <c r="BK78" s="728"/>
      <c r="BL78" s="1027"/>
      <c r="BM78" s="728"/>
      <c r="BN78" s="1027"/>
      <c r="BO78" s="728"/>
      <c r="BP78" s="1027"/>
      <c r="BQ78" s="728"/>
      <c r="BR78" s="1027"/>
      <c r="BS78" s="728"/>
      <c r="BT78" s="1027"/>
      <c r="BU78" s="728"/>
      <c r="BV78" s="1027"/>
      <c r="BW78" s="728"/>
      <c r="BX78" s="1027"/>
      <c r="BY78" s="728"/>
      <c r="BZ78" s="1027"/>
      <c r="CA78" s="728"/>
      <c r="CB78" s="1027"/>
      <c r="CC78" s="728"/>
      <c r="CD78" s="1027"/>
      <c r="CE78" s="728"/>
      <c r="CF78" s="1027"/>
      <c r="CG78" s="728"/>
      <c r="CH78" s="1027"/>
      <c r="CI78" s="293" t="s">
        <v>1112</v>
      </c>
      <c r="CV78" s="762">
        <v>0</v>
      </c>
    </row>
    <row s="1639" customFormat="1" customHeight="1" ht="22.5" hidden="1">
      <c r="A79" s="2409"/>
      <c r="B79" s="515"/>
      <c r="D79" s="669" t="s">
        <v>89</v>
      </c>
      <c r="E79" s="726" t="s">
        <v>1113</v>
      </c>
      <c r="F79" s="664" t="s">
        <v>1059</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728"/>
      <c r="AN79" s="1027"/>
      <c r="AO79" s="728"/>
      <c r="AP79" s="1027"/>
      <c r="AQ79" s="728"/>
      <c r="AR79" s="1027"/>
      <c r="AS79" s="728"/>
      <c r="AT79" s="1027"/>
      <c r="AU79" s="728"/>
      <c r="AV79" s="1027"/>
      <c r="AW79" s="728"/>
      <c r="AX79" s="1027"/>
      <c r="AY79" s="728"/>
      <c r="AZ79" s="1027"/>
      <c r="BA79" s="728"/>
      <c r="BB79" s="1027"/>
      <c r="BC79" s="728"/>
      <c r="BD79" s="1027"/>
      <c r="BE79" s="728"/>
      <c r="BF79" s="1027"/>
      <c r="BG79" s="728"/>
      <c r="BH79" s="1027"/>
      <c r="BI79" s="728"/>
      <c r="BJ79" s="1027"/>
      <c r="BK79" s="728"/>
      <c r="BL79" s="1027"/>
      <c r="BM79" s="728"/>
      <c r="BN79" s="1027"/>
      <c r="BO79" s="728"/>
      <c r="BP79" s="1027"/>
      <c r="BQ79" s="728"/>
      <c r="BR79" s="1027"/>
      <c r="BS79" s="728"/>
      <c r="BT79" s="1027"/>
      <c r="BU79" s="728"/>
      <c r="BV79" s="1027"/>
      <c r="BW79" s="728"/>
      <c r="BX79" s="1027"/>
      <c r="BY79" s="728"/>
      <c r="BZ79" s="1027"/>
      <c r="CA79" s="728"/>
      <c r="CB79" s="1027"/>
      <c r="CC79" s="728"/>
      <c r="CD79" s="1027"/>
      <c r="CE79" s="728"/>
      <c r="CF79" s="1027"/>
      <c r="CG79" s="728"/>
      <c r="CH79" s="1027"/>
      <c r="CI79" s="293" t="s">
        <v>1114</v>
      </c>
      <c r="CV79" s="762">
        <v>0</v>
      </c>
    </row>
    <row s="1639" customFormat="1" customHeight="1" ht="11.25" hidden="1">
      <c r="A80" s="2409"/>
      <c r="B80" s="515"/>
      <c r="D80" s="669" t="s">
        <v>462</v>
      </c>
      <c r="E80" s="727" t="s">
        <v>1115</v>
      </c>
      <c r="F80" s="664" t="s">
        <v>1059</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728"/>
      <c r="AN80" s="1027"/>
      <c r="AO80" s="728"/>
      <c r="AP80" s="1027"/>
      <c r="AQ80" s="728"/>
      <c r="AR80" s="1027"/>
      <c r="AS80" s="728"/>
      <c r="AT80" s="1027"/>
      <c r="AU80" s="728"/>
      <c r="AV80" s="1027"/>
      <c r="AW80" s="728"/>
      <c r="AX80" s="1027"/>
      <c r="AY80" s="728"/>
      <c r="AZ80" s="1027"/>
      <c r="BA80" s="728"/>
      <c r="BB80" s="1027"/>
      <c r="BC80" s="728"/>
      <c r="BD80" s="1027"/>
      <c r="BE80" s="728"/>
      <c r="BF80" s="1027"/>
      <c r="BG80" s="728"/>
      <c r="BH80" s="1027"/>
      <c r="BI80" s="728"/>
      <c r="BJ80" s="1027"/>
      <c r="BK80" s="728"/>
      <c r="BL80" s="1027"/>
      <c r="BM80" s="728"/>
      <c r="BN80" s="1027"/>
      <c r="BO80" s="728"/>
      <c r="BP80" s="1027"/>
      <c r="BQ80" s="728"/>
      <c r="BR80" s="1027"/>
      <c r="BS80" s="728"/>
      <c r="BT80" s="1027"/>
      <c r="BU80" s="728"/>
      <c r="BV80" s="1027"/>
      <c r="BW80" s="728"/>
      <c r="BX80" s="1027"/>
      <c r="BY80" s="728"/>
      <c r="BZ80" s="1027"/>
      <c r="CA80" s="728"/>
      <c r="CB80" s="1027"/>
      <c r="CC80" s="728"/>
      <c r="CD80" s="1027"/>
      <c r="CE80" s="728"/>
      <c r="CF80" s="1027"/>
      <c r="CG80" s="728"/>
      <c r="CH80" s="1027"/>
      <c r="CI80" s="293"/>
      <c r="CV80" s="762">
        <v>0</v>
      </c>
    </row>
    <row s="1639" customFormat="1" customHeight="1" ht="11.25" hidden="1">
      <c r="A81" s="2409"/>
      <c r="B81" s="515"/>
      <c r="D81" s="669" t="s">
        <v>470</v>
      </c>
      <c r="E81" s="727" t="s">
        <v>1116</v>
      </c>
      <c r="F81" s="664" t="s">
        <v>1059</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728"/>
      <c r="AN81" s="1027"/>
      <c r="AO81" s="728"/>
      <c r="AP81" s="1027"/>
      <c r="AQ81" s="728"/>
      <c r="AR81" s="1027"/>
      <c r="AS81" s="728"/>
      <c r="AT81" s="1027"/>
      <c r="AU81" s="728"/>
      <c r="AV81" s="1027"/>
      <c r="AW81" s="728"/>
      <c r="AX81" s="1027"/>
      <c r="AY81" s="728"/>
      <c r="AZ81" s="1027"/>
      <c r="BA81" s="728"/>
      <c r="BB81" s="1027"/>
      <c r="BC81" s="728"/>
      <c r="BD81" s="1027"/>
      <c r="BE81" s="728"/>
      <c r="BF81" s="1027"/>
      <c r="BG81" s="728"/>
      <c r="BH81" s="1027"/>
      <c r="BI81" s="728"/>
      <c r="BJ81" s="1027"/>
      <c r="BK81" s="728"/>
      <c r="BL81" s="1027"/>
      <c r="BM81" s="728"/>
      <c r="BN81" s="1027"/>
      <c r="BO81" s="728"/>
      <c r="BP81" s="1027"/>
      <c r="BQ81" s="728"/>
      <c r="BR81" s="1027"/>
      <c r="BS81" s="728"/>
      <c r="BT81" s="1027"/>
      <c r="BU81" s="728"/>
      <c r="BV81" s="1027"/>
      <c r="BW81" s="728"/>
      <c r="BX81" s="1027"/>
      <c r="BY81" s="728"/>
      <c r="BZ81" s="1027"/>
      <c r="CA81" s="728"/>
      <c r="CB81" s="1027"/>
      <c r="CC81" s="728"/>
      <c r="CD81" s="1027"/>
      <c r="CE81" s="728"/>
      <c r="CF81" s="1027"/>
      <c r="CG81" s="728"/>
      <c r="CH81" s="1027"/>
      <c r="CI81" s="293"/>
      <c r="CV81" s="762">
        <v>0</v>
      </c>
    </row>
    <row s="1639" customFormat="1" customHeight="1" ht="11.25" hidden="1">
      <c r="A82" s="2409"/>
      <c r="B82" s="515"/>
      <c r="D82" s="669" t="s">
        <v>472</v>
      </c>
      <c r="E82" s="727" t="s">
        <v>1117</v>
      </c>
      <c r="F82" s="664" t="s">
        <v>1059</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728"/>
      <c r="AN82" s="1027"/>
      <c r="AO82" s="728"/>
      <c r="AP82" s="1027"/>
      <c r="AQ82" s="728"/>
      <c r="AR82" s="1027"/>
      <c r="AS82" s="728"/>
      <c r="AT82" s="1027"/>
      <c r="AU82" s="728"/>
      <c r="AV82" s="1027"/>
      <c r="AW82" s="728"/>
      <c r="AX82" s="1027"/>
      <c r="AY82" s="728"/>
      <c r="AZ82" s="1027"/>
      <c r="BA82" s="728"/>
      <c r="BB82" s="1027"/>
      <c r="BC82" s="728"/>
      <c r="BD82" s="1027"/>
      <c r="BE82" s="728"/>
      <c r="BF82" s="1027"/>
      <c r="BG82" s="728"/>
      <c r="BH82" s="1027"/>
      <c r="BI82" s="728"/>
      <c r="BJ82" s="1027"/>
      <c r="BK82" s="728"/>
      <c r="BL82" s="1027"/>
      <c r="BM82" s="728"/>
      <c r="BN82" s="1027"/>
      <c r="BO82" s="728"/>
      <c r="BP82" s="1027"/>
      <c r="BQ82" s="728"/>
      <c r="BR82" s="1027"/>
      <c r="BS82" s="728"/>
      <c r="BT82" s="1027"/>
      <c r="BU82" s="728"/>
      <c r="BV82" s="1027"/>
      <c r="BW82" s="728"/>
      <c r="BX82" s="1027"/>
      <c r="BY82" s="728"/>
      <c r="BZ82" s="1027"/>
      <c r="CA82" s="728"/>
      <c r="CB82" s="1027"/>
      <c r="CC82" s="728"/>
      <c r="CD82" s="1027"/>
      <c r="CE82" s="728"/>
      <c r="CF82" s="1027"/>
      <c r="CG82" s="728"/>
      <c r="CH82" s="1027"/>
      <c r="CI82" s="293"/>
      <c r="CV82" s="762">
        <v>0</v>
      </c>
    </row>
    <row s="1639" customFormat="1" customHeight="1" ht="11.25" hidden="1">
      <c r="A83" s="2409"/>
      <c r="B83" s="515"/>
      <c r="D83" s="669" t="s">
        <v>474</v>
      </c>
      <c r="E83" s="727" t="s">
        <v>1118</v>
      </c>
      <c r="F83" s="664" t="s">
        <v>1059</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728"/>
      <c r="AN83" s="1027"/>
      <c r="AO83" s="728"/>
      <c r="AP83" s="1027"/>
      <c r="AQ83" s="728"/>
      <c r="AR83" s="1027"/>
      <c r="AS83" s="728"/>
      <c r="AT83" s="1027"/>
      <c r="AU83" s="728"/>
      <c r="AV83" s="1027"/>
      <c r="AW83" s="728"/>
      <c r="AX83" s="1027"/>
      <c r="AY83" s="728"/>
      <c r="AZ83" s="1027"/>
      <c r="BA83" s="728"/>
      <c r="BB83" s="1027"/>
      <c r="BC83" s="728"/>
      <c r="BD83" s="1027"/>
      <c r="BE83" s="728"/>
      <c r="BF83" s="1027"/>
      <c r="BG83" s="728"/>
      <c r="BH83" s="1027"/>
      <c r="BI83" s="728"/>
      <c r="BJ83" s="1027"/>
      <c r="BK83" s="728"/>
      <c r="BL83" s="1027"/>
      <c r="BM83" s="728"/>
      <c r="BN83" s="1027"/>
      <c r="BO83" s="728"/>
      <c r="BP83" s="1027"/>
      <c r="BQ83" s="728"/>
      <c r="BR83" s="1027"/>
      <c r="BS83" s="728"/>
      <c r="BT83" s="1027"/>
      <c r="BU83" s="728"/>
      <c r="BV83" s="1027"/>
      <c r="BW83" s="728"/>
      <c r="BX83" s="1027"/>
      <c r="BY83" s="728"/>
      <c r="BZ83" s="1027"/>
      <c r="CA83" s="728"/>
      <c r="CB83" s="1027"/>
      <c r="CC83" s="728"/>
      <c r="CD83" s="1027"/>
      <c r="CE83" s="728"/>
      <c r="CF83" s="1027"/>
      <c r="CG83" s="728"/>
      <c r="CH83" s="1027"/>
      <c r="CI83" s="293"/>
      <c r="CV83" s="762">
        <v>0</v>
      </c>
    </row>
    <row s="1639" customFormat="1" customHeight="1" ht="11.25" hidden="1">
      <c r="A84" s="2409"/>
      <c r="B84" s="515"/>
      <c r="D84" s="669" t="s">
        <v>1119</v>
      </c>
      <c r="E84" s="727" t="s">
        <v>1120</v>
      </c>
      <c r="F84" s="664" t="s">
        <v>1059</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728"/>
      <c r="AN84" s="1027"/>
      <c r="AO84" s="728"/>
      <c r="AP84" s="1027"/>
      <c r="AQ84" s="728"/>
      <c r="AR84" s="1027"/>
      <c r="AS84" s="728"/>
      <c r="AT84" s="1027"/>
      <c r="AU84" s="728"/>
      <c r="AV84" s="1027"/>
      <c r="AW84" s="728"/>
      <c r="AX84" s="1027"/>
      <c r="AY84" s="728"/>
      <c r="AZ84" s="1027"/>
      <c r="BA84" s="728"/>
      <c r="BB84" s="1027"/>
      <c r="BC84" s="728"/>
      <c r="BD84" s="1027"/>
      <c r="BE84" s="728"/>
      <c r="BF84" s="1027"/>
      <c r="BG84" s="728"/>
      <c r="BH84" s="1027"/>
      <c r="BI84" s="728"/>
      <c r="BJ84" s="1027"/>
      <c r="BK84" s="728"/>
      <c r="BL84" s="1027"/>
      <c r="BM84" s="728"/>
      <c r="BN84" s="1027"/>
      <c r="BO84" s="728"/>
      <c r="BP84" s="1027"/>
      <c r="BQ84" s="728"/>
      <c r="BR84" s="1027"/>
      <c r="BS84" s="728"/>
      <c r="BT84" s="1027"/>
      <c r="BU84" s="728"/>
      <c r="BV84" s="1027"/>
      <c r="BW84" s="728"/>
      <c r="BX84" s="1027"/>
      <c r="BY84" s="728"/>
      <c r="BZ84" s="1027"/>
      <c r="CA84" s="728"/>
      <c r="CB84" s="1027"/>
      <c r="CC84" s="728"/>
      <c r="CD84" s="1027"/>
      <c r="CE84" s="728"/>
      <c r="CF84" s="1027"/>
      <c r="CG84" s="728"/>
      <c r="CH84" s="1027"/>
      <c r="CI84" s="293"/>
      <c r="CV84" s="762">
        <v>0</v>
      </c>
    </row>
    <row s="1639" customFormat="1" customHeight="1" ht="11.25" hidden="1">
      <c r="A85" s="2409"/>
      <c r="B85" s="515"/>
      <c r="D85" s="669" t="s">
        <v>1121</v>
      </c>
      <c r="E85" s="727" t="s">
        <v>1122</v>
      </c>
      <c r="F85" s="664" t="s">
        <v>1059</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728"/>
      <c r="AN85" s="1027"/>
      <c r="AO85" s="728"/>
      <c r="AP85" s="1027"/>
      <c r="AQ85" s="728"/>
      <c r="AR85" s="1027"/>
      <c r="AS85" s="728"/>
      <c r="AT85" s="1027"/>
      <c r="AU85" s="728"/>
      <c r="AV85" s="1027"/>
      <c r="AW85" s="728"/>
      <c r="AX85" s="1027"/>
      <c r="AY85" s="728"/>
      <c r="AZ85" s="1027"/>
      <c r="BA85" s="728"/>
      <c r="BB85" s="1027"/>
      <c r="BC85" s="728"/>
      <c r="BD85" s="1027"/>
      <c r="BE85" s="728"/>
      <c r="BF85" s="1027"/>
      <c r="BG85" s="728"/>
      <c r="BH85" s="1027"/>
      <c r="BI85" s="728"/>
      <c r="BJ85" s="1027"/>
      <c r="BK85" s="728"/>
      <c r="BL85" s="1027"/>
      <c r="BM85" s="728"/>
      <c r="BN85" s="1027"/>
      <c r="BO85" s="728"/>
      <c r="BP85" s="1027"/>
      <c r="BQ85" s="728"/>
      <c r="BR85" s="1027"/>
      <c r="BS85" s="728"/>
      <c r="BT85" s="1027"/>
      <c r="BU85" s="728"/>
      <c r="BV85" s="1027"/>
      <c r="BW85" s="728"/>
      <c r="BX85" s="1027"/>
      <c r="BY85" s="728"/>
      <c r="BZ85" s="1027"/>
      <c r="CA85" s="728"/>
      <c r="CB85" s="1027"/>
      <c r="CC85" s="728"/>
      <c r="CD85" s="1027"/>
      <c r="CE85" s="728"/>
      <c r="CF85" s="1027"/>
      <c r="CG85" s="728"/>
      <c r="CH85" s="1027"/>
      <c r="CI85" s="293"/>
      <c r="CV85" s="762">
        <v>0</v>
      </c>
    </row>
    <row s="1639" customFormat="1" customHeight="1" ht="11.25" hidden="1">
      <c r="A86" s="2409"/>
      <c r="B86" s="515"/>
      <c r="D86" s="669" t="s">
        <v>1123</v>
      </c>
      <c r="E86" s="727" t="s">
        <v>1124</v>
      </c>
      <c r="F86" s="664" t="s">
        <v>1059</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728"/>
      <c r="AN86" s="1027"/>
      <c r="AO86" s="728"/>
      <c r="AP86" s="1027"/>
      <c r="AQ86" s="728"/>
      <c r="AR86" s="1027"/>
      <c r="AS86" s="728"/>
      <c r="AT86" s="1027"/>
      <c r="AU86" s="728"/>
      <c r="AV86" s="1027"/>
      <c r="AW86" s="728"/>
      <c r="AX86" s="1027"/>
      <c r="AY86" s="728"/>
      <c r="AZ86" s="1027"/>
      <c r="BA86" s="728"/>
      <c r="BB86" s="1027"/>
      <c r="BC86" s="728"/>
      <c r="BD86" s="1027"/>
      <c r="BE86" s="728"/>
      <c r="BF86" s="1027"/>
      <c r="BG86" s="728"/>
      <c r="BH86" s="1027"/>
      <c r="BI86" s="728"/>
      <c r="BJ86" s="1027"/>
      <c r="BK86" s="728"/>
      <c r="BL86" s="1027"/>
      <c r="BM86" s="728"/>
      <c r="BN86" s="1027"/>
      <c r="BO86" s="728"/>
      <c r="BP86" s="1027"/>
      <c r="BQ86" s="728"/>
      <c r="BR86" s="1027"/>
      <c r="BS86" s="728"/>
      <c r="BT86" s="1027"/>
      <c r="BU86" s="728"/>
      <c r="BV86" s="1027"/>
      <c r="BW86" s="728"/>
      <c r="BX86" s="1027"/>
      <c r="BY86" s="728"/>
      <c r="BZ86" s="1027"/>
      <c r="CA86" s="728"/>
      <c r="CB86" s="1027"/>
      <c r="CC86" s="728"/>
      <c r="CD86" s="1027"/>
      <c r="CE86" s="728"/>
      <c r="CF86" s="1027"/>
      <c r="CG86" s="728"/>
      <c r="CH86" s="1027"/>
      <c r="CI86" s="293"/>
      <c r="CV86" s="762">
        <v>0</v>
      </c>
    </row>
    <row s="1639" customFormat="1" customHeight="1" ht="45" hidden="1">
      <c r="A87" s="2409"/>
      <c r="B87" s="515"/>
      <c r="D87" s="669" t="s">
        <v>90</v>
      </c>
      <c r="E87" s="670" t="s">
        <v>1125</v>
      </c>
      <c r="F87" s="664" t="s">
        <v>1059</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728"/>
      <c r="AN87" s="1027"/>
      <c r="AO87" s="728"/>
      <c r="AP87" s="1027"/>
      <c r="AQ87" s="728"/>
      <c r="AR87" s="1027"/>
      <c r="AS87" s="728"/>
      <c r="AT87" s="1027"/>
      <c r="AU87" s="728"/>
      <c r="AV87" s="1027"/>
      <c r="AW87" s="728"/>
      <c r="AX87" s="1027"/>
      <c r="AY87" s="728"/>
      <c r="AZ87" s="1027"/>
      <c r="BA87" s="728"/>
      <c r="BB87" s="1027"/>
      <c r="BC87" s="728"/>
      <c r="BD87" s="1027"/>
      <c r="BE87" s="728"/>
      <c r="BF87" s="1027"/>
      <c r="BG87" s="728"/>
      <c r="BH87" s="1027"/>
      <c r="BI87" s="728"/>
      <c r="BJ87" s="1027"/>
      <c r="BK87" s="728"/>
      <c r="BL87" s="1027"/>
      <c r="BM87" s="728"/>
      <c r="BN87" s="1027"/>
      <c r="BO87" s="728"/>
      <c r="BP87" s="1027"/>
      <c r="BQ87" s="728"/>
      <c r="BR87" s="1027"/>
      <c r="BS87" s="728"/>
      <c r="BT87" s="1027"/>
      <c r="BU87" s="728"/>
      <c r="BV87" s="1027"/>
      <c r="BW87" s="728"/>
      <c r="BX87" s="1027"/>
      <c r="BY87" s="728"/>
      <c r="BZ87" s="1027"/>
      <c r="CA87" s="728"/>
      <c r="CB87" s="1027"/>
      <c r="CC87" s="728"/>
      <c r="CD87" s="1027"/>
      <c r="CE87" s="728"/>
      <c r="CF87" s="1027"/>
      <c r="CG87" s="728"/>
      <c r="CH87" s="1027"/>
      <c r="CI87" s="293" t="s">
        <v>1126</v>
      </c>
      <c r="CV87" s="762">
        <v>0</v>
      </c>
    </row>
    <row s="1639" customFormat="1" customHeight="1" ht="11.25" hidden="1">
      <c r="A88" s="2409"/>
      <c r="B88" s="515"/>
      <c r="D88" s="669" t="s">
        <v>942</v>
      </c>
      <c r="E88" s="727" t="s">
        <v>1115</v>
      </c>
      <c r="F88" s="664" t="s">
        <v>1059</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728"/>
      <c r="AN88" s="1027"/>
      <c r="AO88" s="728"/>
      <c r="AP88" s="1027"/>
      <c r="AQ88" s="728"/>
      <c r="AR88" s="1027"/>
      <c r="AS88" s="728"/>
      <c r="AT88" s="1027"/>
      <c r="AU88" s="728"/>
      <c r="AV88" s="1027"/>
      <c r="AW88" s="728"/>
      <c r="AX88" s="1027"/>
      <c r="AY88" s="728"/>
      <c r="AZ88" s="1027"/>
      <c r="BA88" s="728"/>
      <c r="BB88" s="1027"/>
      <c r="BC88" s="728"/>
      <c r="BD88" s="1027"/>
      <c r="BE88" s="728"/>
      <c r="BF88" s="1027"/>
      <c r="BG88" s="728"/>
      <c r="BH88" s="1027"/>
      <c r="BI88" s="728"/>
      <c r="BJ88" s="1027"/>
      <c r="BK88" s="728"/>
      <c r="BL88" s="1027"/>
      <c r="BM88" s="728"/>
      <c r="BN88" s="1027"/>
      <c r="BO88" s="728"/>
      <c r="BP88" s="1027"/>
      <c r="BQ88" s="728"/>
      <c r="BR88" s="1027"/>
      <c r="BS88" s="728"/>
      <c r="BT88" s="1027"/>
      <c r="BU88" s="728"/>
      <c r="BV88" s="1027"/>
      <c r="BW88" s="728"/>
      <c r="BX88" s="1027"/>
      <c r="BY88" s="728"/>
      <c r="BZ88" s="1027"/>
      <c r="CA88" s="728"/>
      <c r="CB88" s="1027"/>
      <c r="CC88" s="728"/>
      <c r="CD88" s="1027"/>
      <c r="CE88" s="728"/>
      <c r="CF88" s="1027"/>
      <c r="CG88" s="728"/>
      <c r="CH88" s="1027"/>
      <c r="CI88" s="293"/>
      <c r="CV88" s="762">
        <v>0</v>
      </c>
    </row>
    <row s="1639" customFormat="1" customHeight="1" ht="11.25" hidden="1">
      <c r="A89" s="2409"/>
      <c r="B89" s="515"/>
      <c r="D89" s="669" t="s">
        <v>986</v>
      </c>
      <c r="E89" s="727" t="s">
        <v>1116</v>
      </c>
      <c r="F89" s="664" t="s">
        <v>1059</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728"/>
      <c r="AN89" s="1027"/>
      <c r="AO89" s="728"/>
      <c r="AP89" s="1027"/>
      <c r="AQ89" s="728"/>
      <c r="AR89" s="1027"/>
      <c r="AS89" s="728"/>
      <c r="AT89" s="1027"/>
      <c r="AU89" s="728"/>
      <c r="AV89" s="1027"/>
      <c r="AW89" s="728"/>
      <c r="AX89" s="1027"/>
      <c r="AY89" s="728"/>
      <c r="AZ89" s="1027"/>
      <c r="BA89" s="728"/>
      <c r="BB89" s="1027"/>
      <c r="BC89" s="728"/>
      <c r="BD89" s="1027"/>
      <c r="BE89" s="728"/>
      <c r="BF89" s="1027"/>
      <c r="BG89" s="728"/>
      <c r="BH89" s="1027"/>
      <c r="BI89" s="728"/>
      <c r="BJ89" s="1027"/>
      <c r="BK89" s="728"/>
      <c r="BL89" s="1027"/>
      <c r="BM89" s="728"/>
      <c r="BN89" s="1027"/>
      <c r="BO89" s="728"/>
      <c r="BP89" s="1027"/>
      <c r="BQ89" s="728"/>
      <c r="BR89" s="1027"/>
      <c r="BS89" s="728"/>
      <c r="BT89" s="1027"/>
      <c r="BU89" s="728"/>
      <c r="BV89" s="1027"/>
      <c r="BW89" s="728"/>
      <c r="BX89" s="1027"/>
      <c r="BY89" s="728"/>
      <c r="BZ89" s="1027"/>
      <c r="CA89" s="728"/>
      <c r="CB89" s="1027"/>
      <c r="CC89" s="728"/>
      <c r="CD89" s="1027"/>
      <c r="CE89" s="728"/>
      <c r="CF89" s="1027"/>
      <c r="CG89" s="728"/>
      <c r="CH89" s="1027"/>
      <c r="CI89" s="293"/>
      <c r="CV89" s="762">
        <v>0</v>
      </c>
    </row>
    <row s="1639" customFormat="1" customHeight="1" ht="11.25" hidden="1">
      <c r="A90" s="2409"/>
      <c r="B90" s="515"/>
      <c r="D90" s="669" t="s">
        <v>989</v>
      </c>
      <c r="E90" s="727" t="s">
        <v>1117</v>
      </c>
      <c r="F90" s="664" t="s">
        <v>1059</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728"/>
      <c r="AN90" s="1027"/>
      <c r="AO90" s="728"/>
      <c r="AP90" s="1027"/>
      <c r="AQ90" s="728"/>
      <c r="AR90" s="1027"/>
      <c r="AS90" s="728"/>
      <c r="AT90" s="1027"/>
      <c r="AU90" s="728"/>
      <c r="AV90" s="1027"/>
      <c r="AW90" s="728"/>
      <c r="AX90" s="1027"/>
      <c r="AY90" s="728"/>
      <c r="AZ90" s="1027"/>
      <c r="BA90" s="728"/>
      <c r="BB90" s="1027"/>
      <c r="BC90" s="728"/>
      <c r="BD90" s="1027"/>
      <c r="BE90" s="728"/>
      <c r="BF90" s="1027"/>
      <c r="BG90" s="728"/>
      <c r="BH90" s="1027"/>
      <c r="BI90" s="728"/>
      <c r="BJ90" s="1027"/>
      <c r="BK90" s="728"/>
      <c r="BL90" s="1027"/>
      <c r="BM90" s="728"/>
      <c r="BN90" s="1027"/>
      <c r="BO90" s="728"/>
      <c r="BP90" s="1027"/>
      <c r="BQ90" s="728"/>
      <c r="BR90" s="1027"/>
      <c r="BS90" s="728"/>
      <c r="BT90" s="1027"/>
      <c r="BU90" s="728"/>
      <c r="BV90" s="1027"/>
      <c r="BW90" s="728"/>
      <c r="BX90" s="1027"/>
      <c r="BY90" s="728"/>
      <c r="BZ90" s="1027"/>
      <c r="CA90" s="728"/>
      <c r="CB90" s="1027"/>
      <c r="CC90" s="728"/>
      <c r="CD90" s="1027"/>
      <c r="CE90" s="728"/>
      <c r="CF90" s="1027"/>
      <c r="CG90" s="728"/>
      <c r="CH90" s="1027"/>
      <c r="CI90" s="293"/>
      <c r="CV90" s="762">
        <v>0</v>
      </c>
    </row>
    <row s="1639" customFormat="1" customHeight="1" ht="11.25" hidden="1">
      <c r="A91" s="2409"/>
      <c r="B91" s="515"/>
      <c r="D91" s="669" t="s">
        <v>1077</v>
      </c>
      <c r="E91" s="727" t="s">
        <v>1118</v>
      </c>
      <c r="F91" s="664" t="s">
        <v>1059</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728"/>
      <c r="AN91" s="1027"/>
      <c r="AO91" s="728"/>
      <c r="AP91" s="1027"/>
      <c r="AQ91" s="728"/>
      <c r="AR91" s="1027"/>
      <c r="AS91" s="728"/>
      <c r="AT91" s="1027"/>
      <c r="AU91" s="728"/>
      <c r="AV91" s="1027"/>
      <c r="AW91" s="728"/>
      <c r="AX91" s="1027"/>
      <c r="AY91" s="728"/>
      <c r="AZ91" s="1027"/>
      <c r="BA91" s="728"/>
      <c r="BB91" s="1027"/>
      <c r="BC91" s="728"/>
      <c r="BD91" s="1027"/>
      <c r="BE91" s="728"/>
      <c r="BF91" s="1027"/>
      <c r="BG91" s="728"/>
      <c r="BH91" s="1027"/>
      <c r="BI91" s="728"/>
      <c r="BJ91" s="1027"/>
      <c r="BK91" s="728"/>
      <c r="BL91" s="1027"/>
      <c r="BM91" s="728"/>
      <c r="BN91" s="1027"/>
      <c r="BO91" s="728"/>
      <c r="BP91" s="1027"/>
      <c r="BQ91" s="728"/>
      <c r="BR91" s="1027"/>
      <c r="BS91" s="728"/>
      <c r="BT91" s="1027"/>
      <c r="BU91" s="728"/>
      <c r="BV91" s="1027"/>
      <c r="BW91" s="728"/>
      <c r="BX91" s="1027"/>
      <c r="BY91" s="728"/>
      <c r="BZ91" s="1027"/>
      <c r="CA91" s="728"/>
      <c r="CB91" s="1027"/>
      <c r="CC91" s="728"/>
      <c r="CD91" s="1027"/>
      <c r="CE91" s="728"/>
      <c r="CF91" s="1027"/>
      <c r="CG91" s="728"/>
      <c r="CH91" s="1027"/>
      <c r="CI91" s="293"/>
      <c r="CV91" s="762">
        <v>0</v>
      </c>
    </row>
    <row s="1639" customFormat="1" customHeight="1" ht="11.25" hidden="1">
      <c r="A92" s="2409"/>
      <c r="B92" s="515"/>
      <c r="D92" s="669" t="s">
        <v>1079</v>
      </c>
      <c r="E92" s="727" t="s">
        <v>1120</v>
      </c>
      <c r="F92" s="664" t="s">
        <v>1059</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728"/>
      <c r="AN92" s="1027"/>
      <c r="AO92" s="728"/>
      <c r="AP92" s="1027"/>
      <c r="AQ92" s="728"/>
      <c r="AR92" s="1027"/>
      <c r="AS92" s="728"/>
      <c r="AT92" s="1027"/>
      <c r="AU92" s="728"/>
      <c r="AV92" s="1027"/>
      <c r="AW92" s="728"/>
      <c r="AX92" s="1027"/>
      <c r="AY92" s="728"/>
      <c r="AZ92" s="1027"/>
      <c r="BA92" s="728"/>
      <c r="BB92" s="1027"/>
      <c r="BC92" s="728"/>
      <c r="BD92" s="1027"/>
      <c r="BE92" s="728"/>
      <c r="BF92" s="1027"/>
      <c r="BG92" s="728"/>
      <c r="BH92" s="1027"/>
      <c r="BI92" s="728"/>
      <c r="BJ92" s="1027"/>
      <c r="BK92" s="728"/>
      <c r="BL92" s="1027"/>
      <c r="BM92" s="728"/>
      <c r="BN92" s="1027"/>
      <c r="BO92" s="728"/>
      <c r="BP92" s="1027"/>
      <c r="BQ92" s="728"/>
      <c r="BR92" s="1027"/>
      <c r="BS92" s="728"/>
      <c r="BT92" s="1027"/>
      <c r="BU92" s="728"/>
      <c r="BV92" s="1027"/>
      <c r="BW92" s="728"/>
      <c r="BX92" s="1027"/>
      <c r="BY92" s="728"/>
      <c r="BZ92" s="1027"/>
      <c r="CA92" s="728"/>
      <c r="CB92" s="1027"/>
      <c r="CC92" s="728"/>
      <c r="CD92" s="1027"/>
      <c r="CE92" s="728"/>
      <c r="CF92" s="1027"/>
      <c r="CG92" s="728"/>
      <c r="CH92" s="1027"/>
      <c r="CI92" s="293"/>
      <c r="CV92" s="762">
        <v>0</v>
      </c>
    </row>
    <row s="1639" customFormat="1" customHeight="1" ht="11.25" hidden="1">
      <c r="A93" s="2409"/>
      <c r="B93" s="515"/>
      <c r="D93" s="669" t="s">
        <v>1127</v>
      </c>
      <c r="E93" s="727" t="s">
        <v>1122</v>
      </c>
      <c r="F93" s="664" t="s">
        <v>1059</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728"/>
      <c r="AN93" s="1027"/>
      <c r="AO93" s="728"/>
      <c r="AP93" s="1027"/>
      <c r="AQ93" s="728"/>
      <c r="AR93" s="1027"/>
      <c r="AS93" s="728"/>
      <c r="AT93" s="1027"/>
      <c r="AU93" s="728"/>
      <c r="AV93" s="1027"/>
      <c r="AW93" s="728"/>
      <c r="AX93" s="1027"/>
      <c r="AY93" s="728"/>
      <c r="AZ93" s="1027"/>
      <c r="BA93" s="728"/>
      <c r="BB93" s="1027"/>
      <c r="BC93" s="728"/>
      <c r="BD93" s="1027"/>
      <c r="BE93" s="728"/>
      <c r="BF93" s="1027"/>
      <c r="BG93" s="728"/>
      <c r="BH93" s="1027"/>
      <c r="BI93" s="728"/>
      <c r="BJ93" s="1027"/>
      <c r="BK93" s="728"/>
      <c r="BL93" s="1027"/>
      <c r="BM93" s="728"/>
      <c r="BN93" s="1027"/>
      <c r="BO93" s="728"/>
      <c r="BP93" s="1027"/>
      <c r="BQ93" s="728"/>
      <c r="BR93" s="1027"/>
      <c r="BS93" s="728"/>
      <c r="BT93" s="1027"/>
      <c r="BU93" s="728"/>
      <c r="BV93" s="1027"/>
      <c r="BW93" s="728"/>
      <c r="BX93" s="1027"/>
      <c r="BY93" s="728"/>
      <c r="BZ93" s="1027"/>
      <c r="CA93" s="728"/>
      <c r="CB93" s="1027"/>
      <c r="CC93" s="728"/>
      <c r="CD93" s="1027"/>
      <c r="CE93" s="728"/>
      <c r="CF93" s="1027"/>
      <c r="CG93" s="728"/>
      <c r="CH93" s="1027"/>
      <c r="CI93" s="293"/>
      <c r="CV93" s="762">
        <v>0</v>
      </c>
    </row>
    <row s="1639" customFormat="1" customHeight="1" ht="11.25" hidden="1">
      <c r="A94" s="2409"/>
      <c r="B94" s="515"/>
      <c r="D94" s="669" t="s">
        <v>1128</v>
      </c>
      <c r="E94" s="727" t="s">
        <v>1124</v>
      </c>
      <c r="F94" s="664" t="s">
        <v>1059</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728"/>
      <c r="AN94" s="1027"/>
      <c r="AO94" s="728"/>
      <c r="AP94" s="1027"/>
      <c r="AQ94" s="728"/>
      <c r="AR94" s="1027"/>
      <c r="AS94" s="728"/>
      <c r="AT94" s="1027"/>
      <c r="AU94" s="728"/>
      <c r="AV94" s="1027"/>
      <c r="AW94" s="728"/>
      <c r="AX94" s="1027"/>
      <c r="AY94" s="728"/>
      <c r="AZ94" s="1027"/>
      <c r="BA94" s="728"/>
      <c r="BB94" s="1027"/>
      <c r="BC94" s="728"/>
      <c r="BD94" s="1027"/>
      <c r="BE94" s="728"/>
      <c r="BF94" s="1027"/>
      <c r="BG94" s="728"/>
      <c r="BH94" s="1027"/>
      <c r="BI94" s="728"/>
      <c r="BJ94" s="1027"/>
      <c r="BK94" s="728"/>
      <c r="BL94" s="1027"/>
      <c r="BM94" s="728"/>
      <c r="BN94" s="1027"/>
      <c r="BO94" s="728"/>
      <c r="BP94" s="1027"/>
      <c r="BQ94" s="728"/>
      <c r="BR94" s="1027"/>
      <c r="BS94" s="728"/>
      <c r="BT94" s="1027"/>
      <c r="BU94" s="728"/>
      <c r="BV94" s="1027"/>
      <c r="BW94" s="728"/>
      <c r="BX94" s="1027"/>
      <c r="BY94" s="728"/>
      <c r="BZ94" s="1027"/>
      <c r="CA94" s="728"/>
      <c r="CB94" s="1027"/>
      <c r="CC94" s="728"/>
      <c r="CD94" s="1027"/>
      <c r="CE94" s="728"/>
      <c r="CF94" s="1027"/>
      <c r="CG94" s="728"/>
      <c r="CH94" s="1027"/>
      <c r="CI94" s="293"/>
      <c r="CV94" s="762">
        <v>0</v>
      </c>
    </row>
    <row s="1639" customFormat="1" customHeight="1" ht="24.75" hidden="1">
      <c r="A95" s="2409"/>
      <c r="B95" s="515"/>
      <c r="D95" s="669" t="s">
        <v>120</v>
      </c>
      <c r="E95" s="670" t="s">
        <v>1129</v>
      </c>
      <c r="F95" s="729" t="s">
        <v>696</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731"/>
      <c r="AN95" s="1027"/>
      <c r="AO95" s="731"/>
      <c r="AP95" s="1027"/>
      <c r="AQ95" s="731"/>
      <c r="AR95" s="1027"/>
      <c r="AS95" s="731"/>
      <c r="AT95" s="1027"/>
      <c r="AU95" s="731"/>
      <c r="AV95" s="1027"/>
      <c r="AW95" s="731"/>
      <c r="AX95" s="1027"/>
      <c r="AY95" s="731"/>
      <c r="AZ95" s="1027"/>
      <c r="BA95" s="731"/>
      <c r="BB95" s="1027"/>
      <c r="BC95" s="731"/>
      <c r="BD95" s="1027"/>
      <c r="BE95" s="731"/>
      <c r="BF95" s="1027"/>
      <c r="BG95" s="731"/>
      <c r="BH95" s="1027"/>
      <c r="BI95" s="731"/>
      <c r="BJ95" s="1027"/>
      <c r="BK95" s="731"/>
      <c r="BL95" s="1027"/>
      <c r="BM95" s="731"/>
      <c r="BN95" s="1027"/>
      <c r="BO95" s="731"/>
      <c r="BP95" s="1027"/>
      <c r="BQ95" s="731"/>
      <c r="BR95" s="1027"/>
      <c r="BS95" s="731"/>
      <c r="BT95" s="1027"/>
      <c r="BU95" s="731"/>
      <c r="BV95" s="1027"/>
      <c r="BW95" s="731"/>
      <c r="BX95" s="1027"/>
      <c r="BY95" s="731"/>
      <c r="BZ95" s="1027"/>
      <c r="CA95" s="731"/>
      <c r="CB95" s="1027"/>
      <c r="CC95" s="731"/>
      <c r="CD95" s="1027"/>
      <c r="CE95" s="731"/>
      <c r="CF95" s="1027"/>
      <c r="CG95" s="731"/>
      <c r="CH95" s="1027"/>
      <c r="CI95" s="293" t="s">
        <v>1130</v>
      </c>
      <c r="CV95" s="762">
        <v>0</v>
      </c>
    </row>
    <row s="1639" customFormat="1" customHeight="1" ht="33.75" hidden="1">
      <c r="A96" s="2409"/>
      <c r="B96" s="515"/>
      <c r="D96" s="669" t="s">
        <v>91</v>
      </c>
      <c r="E96" s="670" t="s">
        <v>1131</v>
      </c>
      <c r="F96" s="730" t="s">
        <v>1020</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732"/>
      <c r="AN96" s="1027"/>
      <c r="AO96" s="732"/>
      <c r="AP96" s="1027"/>
      <c r="AQ96" s="732"/>
      <c r="AR96" s="1027"/>
      <c r="AS96" s="732"/>
      <c r="AT96" s="1027"/>
      <c r="AU96" s="732"/>
      <c r="AV96" s="1027"/>
      <c r="AW96" s="732"/>
      <c r="AX96" s="1027"/>
      <c r="AY96" s="732"/>
      <c r="AZ96" s="1027"/>
      <c r="BA96" s="732"/>
      <c r="BB96" s="1027"/>
      <c r="BC96" s="732"/>
      <c r="BD96" s="1027"/>
      <c r="BE96" s="732"/>
      <c r="BF96" s="1027"/>
      <c r="BG96" s="732"/>
      <c r="BH96" s="1027"/>
      <c r="BI96" s="732"/>
      <c r="BJ96" s="1027"/>
      <c r="BK96" s="732"/>
      <c r="BL96" s="1027"/>
      <c r="BM96" s="732"/>
      <c r="BN96" s="1027"/>
      <c r="BO96" s="732"/>
      <c r="BP96" s="1027"/>
      <c r="BQ96" s="732"/>
      <c r="BR96" s="1027"/>
      <c r="BS96" s="732"/>
      <c r="BT96" s="1027"/>
      <c r="BU96" s="732"/>
      <c r="BV96" s="1027"/>
      <c r="BW96" s="732"/>
      <c r="BX96" s="1027"/>
      <c r="BY96" s="732"/>
      <c r="BZ96" s="1027"/>
      <c r="CA96" s="732"/>
      <c r="CB96" s="1027"/>
      <c r="CC96" s="732"/>
      <c r="CD96" s="1027"/>
      <c r="CE96" s="732"/>
      <c r="CF96" s="1027"/>
      <c r="CG96" s="732"/>
      <c r="CH96" s="1027"/>
      <c r="CI96" s="293"/>
      <c r="CV96" s="762">
        <v>0</v>
      </c>
    </row>
    <row s="1639" customFormat="1" customHeight="1" ht="22.5" hidden="1">
      <c r="A97" s="2409"/>
      <c r="B97" s="515" t="s">
        <v>724</v>
      </c>
      <c r="D97" s="669" t="s">
        <v>92</v>
      </c>
      <c r="E97" s="670" t="s">
        <v>1132</v>
      </c>
      <c r="F97" s="730" t="s">
        <v>444</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389"/>
      <c r="AN97" s="1027"/>
      <c r="AO97" s="389"/>
      <c r="AP97" s="1027"/>
      <c r="AQ97" s="389"/>
      <c r="AR97" s="1027"/>
      <c r="AS97" s="389"/>
      <c r="AT97" s="1027"/>
      <c r="AU97" s="389"/>
      <c r="AV97" s="1027"/>
      <c r="AW97" s="389"/>
      <c r="AX97" s="1027"/>
      <c r="AY97" s="389"/>
      <c r="AZ97" s="1027"/>
      <c r="BA97" s="389"/>
      <c r="BB97" s="1027"/>
      <c r="BC97" s="389"/>
      <c r="BD97" s="1027"/>
      <c r="BE97" s="389"/>
      <c r="BF97" s="1027"/>
      <c r="BG97" s="389"/>
      <c r="BH97" s="1027"/>
      <c r="BI97" s="389"/>
      <c r="BJ97" s="1027"/>
      <c r="BK97" s="389"/>
      <c r="BL97" s="1027"/>
      <c r="BM97" s="389"/>
      <c r="BN97" s="1027"/>
      <c r="BO97" s="389"/>
      <c r="BP97" s="1027"/>
      <c r="BQ97" s="389"/>
      <c r="BR97" s="1027"/>
      <c r="BS97" s="389"/>
      <c r="BT97" s="1027"/>
      <c r="BU97" s="389"/>
      <c r="BV97" s="1027"/>
      <c r="BW97" s="389"/>
      <c r="BX97" s="1027"/>
      <c r="BY97" s="389"/>
      <c r="BZ97" s="1027"/>
      <c r="CA97" s="389"/>
      <c r="CB97" s="1027"/>
      <c r="CC97" s="389"/>
      <c r="CD97" s="1027"/>
      <c r="CE97" s="389"/>
      <c r="CF97" s="1027"/>
      <c r="CG97" s="389"/>
      <c r="CH97" s="1027"/>
      <c r="CI97" s="293" t="s">
        <v>814</v>
      </c>
      <c r="CV97" s="762">
        <v>0</v>
      </c>
    </row>
    <row s="1639" customFormat="1" customHeight="1" ht="45" hidden="1">
      <c r="A98" s="2409"/>
      <c r="B98" s="515" t="s">
        <v>724</v>
      </c>
      <c r="D98" s="669" t="s">
        <v>998</v>
      </c>
      <c r="E98" s="671" t="s">
        <v>1133</v>
      </c>
      <c r="F98" s="725" t="s">
        <v>444</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389"/>
      <c r="AN98" s="1027"/>
      <c r="AO98" s="389"/>
      <c r="AP98" s="1027"/>
      <c r="AQ98" s="389"/>
      <c r="AR98" s="1027"/>
      <c r="AS98" s="389"/>
      <c r="AT98" s="1027"/>
      <c r="AU98" s="389"/>
      <c r="AV98" s="1027"/>
      <c r="AW98" s="389"/>
      <c r="AX98" s="1027"/>
      <c r="AY98" s="389"/>
      <c r="AZ98" s="1027"/>
      <c r="BA98" s="389"/>
      <c r="BB98" s="1027"/>
      <c r="BC98" s="389"/>
      <c r="BD98" s="1027"/>
      <c r="BE98" s="389"/>
      <c r="BF98" s="1027"/>
      <c r="BG98" s="389"/>
      <c r="BH98" s="1027"/>
      <c r="BI98" s="389"/>
      <c r="BJ98" s="1027"/>
      <c r="BK98" s="389"/>
      <c r="BL98" s="1027"/>
      <c r="BM98" s="389"/>
      <c r="BN98" s="1027"/>
      <c r="BO98" s="389"/>
      <c r="BP98" s="1027"/>
      <c r="BQ98" s="389"/>
      <c r="BR98" s="1027"/>
      <c r="BS98" s="389"/>
      <c r="BT98" s="1027"/>
      <c r="BU98" s="389"/>
      <c r="BV98" s="1027"/>
      <c r="BW98" s="389"/>
      <c r="BX98" s="1027"/>
      <c r="BY98" s="389"/>
      <c r="BZ98" s="1027"/>
      <c r="CA98" s="389"/>
      <c r="CB98" s="1027"/>
      <c r="CC98" s="389"/>
      <c r="CD98" s="1027"/>
      <c r="CE98" s="389"/>
      <c r="CF98" s="1027"/>
      <c r="CG98" s="389"/>
      <c r="CH98" s="1027"/>
      <c r="CI98" s="293" t="s">
        <v>814</v>
      </c>
      <c r="CV98" s="762">
        <v>0</v>
      </c>
    </row>
    <row s="1639" customFormat="1" customHeight="1" ht="95.25" hidden="1">
      <c r="A99" s="2409"/>
      <c r="B99" s="515" t="s">
        <v>724</v>
      </c>
      <c r="D99" s="669" t="s">
        <v>133</v>
      </c>
      <c r="E99" s="670" t="s">
        <v>1134</v>
      </c>
      <c r="F99" s="725" t="s">
        <v>444</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389"/>
      <c r="AN99" s="1027"/>
      <c r="AO99" s="389"/>
      <c r="AP99" s="1027"/>
      <c r="AQ99" s="389"/>
      <c r="AR99" s="1027"/>
      <c r="AS99" s="389"/>
      <c r="AT99" s="1027"/>
      <c r="AU99" s="389"/>
      <c r="AV99" s="1027"/>
      <c r="AW99" s="389"/>
      <c r="AX99" s="1027"/>
      <c r="AY99" s="389"/>
      <c r="AZ99" s="1027"/>
      <c r="BA99" s="389"/>
      <c r="BB99" s="1027"/>
      <c r="BC99" s="389"/>
      <c r="BD99" s="1027"/>
      <c r="BE99" s="389"/>
      <c r="BF99" s="1027"/>
      <c r="BG99" s="389"/>
      <c r="BH99" s="1027"/>
      <c r="BI99" s="389"/>
      <c r="BJ99" s="1027"/>
      <c r="BK99" s="389"/>
      <c r="BL99" s="1027"/>
      <c r="BM99" s="389"/>
      <c r="BN99" s="1027"/>
      <c r="BO99" s="389"/>
      <c r="BP99" s="1027"/>
      <c r="BQ99" s="389"/>
      <c r="BR99" s="1027"/>
      <c r="BS99" s="389"/>
      <c r="BT99" s="1027"/>
      <c r="BU99" s="389"/>
      <c r="BV99" s="1027"/>
      <c r="BW99" s="389"/>
      <c r="BX99" s="1027"/>
      <c r="BY99" s="389"/>
      <c r="BZ99" s="1027"/>
      <c r="CA99" s="389"/>
      <c r="CB99" s="1027"/>
      <c r="CC99" s="389"/>
      <c r="CD99" s="1027"/>
      <c r="CE99" s="389"/>
      <c r="CF99" s="1027"/>
      <c r="CG99" s="389"/>
      <c r="CH99" s="1027"/>
      <c r="CI99" s="293" t="s">
        <v>814</v>
      </c>
      <c r="CV99" s="762">
        <v>0</v>
      </c>
    </row>
    <row s="1639" customFormat="1" customHeight="1" ht="22.5" hidden="1">
      <c r="A100" s="2409"/>
      <c r="B100" s="515" t="s">
        <v>724</v>
      </c>
      <c r="D100" s="669" t="s">
        <v>148</v>
      </c>
      <c r="E100" s="670" t="s">
        <v>1135</v>
      </c>
      <c r="F100" s="725" t="s">
        <v>444</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389"/>
      <c r="AN100" s="1027"/>
      <c r="AO100" s="389"/>
      <c r="AP100" s="1027"/>
      <c r="AQ100" s="389"/>
      <c r="AR100" s="1027"/>
      <c r="AS100" s="389"/>
      <c r="AT100" s="1027"/>
      <c r="AU100" s="389"/>
      <c r="AV100" s="1027"/>
      <c r="AW100" s="389"/>
      <c r="AX100" s="1027"/>
      <c r="AY100" s="389"/>
      <c r="AZ100" s="1027"/>
      <c r="BA100" s="389"/>
      <c r="BB100" s="1027"/>
      <c r="BC100" s="389"/>
      <c r="BD100" s="1027"/>
      <c r="BE100" s="389"/>
      <c r="BF100" s="1027"/>
      <c r="BG100" s="389"/>
      <c r="BH100" s="1027"/>
      <c r="BI100" s="389"/>
      <c r="BJ100" s="1027"/>
      <c r="BK100" s="389"/>
      <c r="BL100" s="1027"/>
      <c r="BM100" s="389"/>
      <c r="BN100" s="1027"/>
      <c r="BO100" s="389"/>
      <c r="BP100" s="1027"/>
      <c r="BQ100" s="389"/>
      <c r="BR100" s="1027"/>
      <c r="BS100" s="389"/>
      <c r="BT100" s="1027"/>
      <c r="BU100" s="389"/>
      <c r="BV100" s="1027"/>
      <c r="BW100" s="389"/>
      <c r="BX100" s="1027"/>
      <c r="BY100" s="389"/>
      <c r="BZ100" s="1027"/>
      <c r="CA100" s="389"/>
      <c r="CB100" s="1027"/>
      <c r="CC100" s="389"/>
      <c r="CD100" s="1027"/>
      <c r="CE100" s="389"/>
      <c r="CF100" s="1027"/>
      <c r="CG100" s="389"/>
      <c r="CH100" s="1027"/>
      <c r="CI100" s="293" t="s">
        <v>814</v>
      </c>
      <c r="CV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639"/>
      <c r="CG101" s="1639"/>
      <c r="CH101" s="1639"/>
      <c r="CV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1639">
        <v>0</v>
      </c>
      <c r="AN102" s="1639">
        <v>0</v>
      </c>
      <c r="AO102" s="1639">
        <v>0</v>
      </c>
      <c r="AP102" s="1639">
        <v>0</v>
      </c>
      <c r="AQ102" s="1639">
        <v>0</v>
      </c>
      <c r="AR102" s="1639">
        <v>0</v>
      </c>
      <c r="AS102" s="1639">
        <v>0</v>
      </c>
      <c r="AT102" s="1639">
        <v>0</v>
      </c>
      <c r="AU102" s="1639">
        <v>0</v>
      </c>
      <c r="AV102" s="1639">
        <v>0</v>
      </c>
      <c r="AW102" s="1639">
        <v>0</v>
      </c>
      <c r="AX102" s="1639">
        <v>0</v>
      </c>
      <c r="AY102" s="1639">
        <v>0</v>
      </c>
      <c r="AZ102" s="1639">
        <v>0</v>
      </c>
      <c r="BA102" s="1639">
        <v>0</v>
      </c>
      <c r="BB102" s="1639">
        <v>0</v>
      </c>
      <c r="BC102" s="1639">
        <v>0</v>
      </c>
      <c r="BD102" s="1639">
        <v>0</v>
      </c>
      <c r="BE102" s="1639">
        <v>0</v>
      </c>
      <c r="BF102" s="1639">
        <v>0</v>
      </c>
      <c r="BG102" s="1639">
        <v>0</v>
      </c>
      <c r="BH102" s="1639">
        <v>0</v>
      </c>
      <c r="BI102" s="1639">
        <v>0</v>
      </c>
      <c r="BJ102" s="1639">
        <v>0</v>
      </c>
      <c r="BK102" s="1639">
        <v>0</v>
      </c>
      <c r="BL102" s="1639">
        <v>0</v>
      </c>
      <c r="BM102" s="1639">
        <v>0</v>
      </c>
      <c r="BN102" s="1639">
        <v>0</v>
      </c>
      <c r="BO102" s="1639">
        <v>0</v>
      </c>
      <c r="BP102" s="1639">
        <v>0</v>
      </c>
      <c r="BQ102" s="1639">
        <v>0</v>
      </c>
      <c r="BR102" s="1639">
        <v>0</v>
      </c>
      <c r="BS102" s="1639">
        <v>0</v>
      </c>
      <c r="BT102" s="1639">
        <v>0</v>
      </c>
      <c r="BU102" s="1639">
        <v>0</v>
      </c>
      <c r="BV102" s="1639">
        <v>0</v>
      </c>
      <c r="BW102" s="1639">
        <v>0</v>
      </c>
      <c r="BX102" s="1639">
        <v>0</v>
      </c>
      <c r="BY102" s="1639">
        <v>0</v>
      </c>
      <c r="BZ102" s="1639">
        <v>0</v>
      </c>
      <c r="CA102" s="1639">
        <v>0</v>
      </c>
      <c r="CB102" s="1639">
        <v>0</v>
      </c>
      <c r="CC102" s="1639">
        <v>0</v>
      </c>
      <c r="CD102" s="1639">
        <v>0</v>
      </c>
      <c r="CE102" s="1639">
        <v>0</v>
      </c>
      <c r="CF102" s="1639">
        <v>0</v>
      </c>
      <c r="CG102" s="1639">
        <v>0</v>
      </c>
      <c r="CH102" s="1639">
        <v>0</v>
      </c>
      <c r="CI102" s="509">
        <v>73</v>
      </c>
      <c r="CJ102" s="509">
        <v>3</v>
      </c>
      <c r="CK102" s="509">
        <v>10</v>
      </c>
      <c r="CL102" s="509">
        <v>10</v>
      </c>
      <c r="CM102" s="509">
        <v>10</v>
      </c>
      <c r="CN102" s="509">
        <v>10</v>
      </c>
      <c r="CO102" s="509">
        <v>10</v>
      </c>
      <c r="CP102" s="509">
        <v>10</v>
      </c>
      <c r="CQ102" s="509">
        <v>10</v>
      </c>
      <c r="CR102" s="509">
        <v>10</v>
      </c>
      <c r="CS102" s="509">
        <v>10</v>
      </c>
      <c r="CT102" s="509">
        <v>10</v>
      </c>
      <c r="CU102" s="509">
        <v>10</v>
      </c>
      <c r="CV102" s="509">
        <v>23</v>
      </c>
    </row>
  </sheetData>
  <sheetProtection formatColumns="0" formatRows="0" autoFilter="0" sort="0" insertRows="0" insertColumns="1" deleteRows="0" deleteColumns="0"/>
  <mergeCells count="132">
    <mergeCell ref="D3:F3"/>
    <mergeCell ref="CI7:C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G62:G63 G74:G75 G97:G100 I62:I63 I74:I75 I97:I100 H13:H14 H19 J19 L19 N19 P19 R19 T19 V19 X19 Z19 AB19 AD19 AF19 AH19 AJ19 AL19 AN19 AP19 AR19 AT19 AV19 AX19 AZ19 BB19 BD19 BF19 BH19 BJ19 BL19 BN19 BP19 BR19 BT19 BV19 BX19 BZ19 CB19 CD19 CF19 CH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J24 L24 N24 P24 R24 T24 V24 X24 Z24 AB24 AD24 AF24 AH24 AJ24 AL24 AN24 AP24 AR24 AT24 AV24 AX24 AZ24 BB24 BD24 BF24 BH24 BJ24 BL24 BN24 BP24 BR24 BT24 BV24 BX24 BZ24 CB24 CD24 CF24 CH24">
      <formula1>900</formula1>
    </dataValidation>
  </dataValidations>
  <hyperlinks>
    <hyperlink ref="I62" r:id="rId1" tooltip="Кликните по гиперссылке, чтобы перейти по ней или отредактировать её" xr:uid="{4AF63F48-D378-7A47-C5D8-073D5B9729C8}"/>
    <hyperlink ref="K62" r:id="rId2" tooltip="Кликните по гиперссылке, чтобы перейти по ней или отредактировать её" xr:uid="{806AE008-22CA-FA78-5208-35D99843D548}"/>
    <hyperlink ref="M62" r:id="rId3" tooltip="Кликните по гиперссылке, чтобы перейти по ней или отредактировать её" xr:uid="{02A53308-2EEA-977F-FB28-84C50390B868}"/>
    <hyperlink ref="O62" r:id="rId4" tooltip="Кликните по гиперссылке, чтобы перейти по ней или отредактировать её" xr:uid="{181C7648-9AE1-5A28-3506-F1907E51926E}"/>
    <hyperlink ref="Q62" r:id="rId5" tooltip="Кликните по гиперссылке, чтобы перейти по ней или отредактировать её" xr:uid="{FE09F8B3-DCC8-35F1-8E98-A1963DA8C15C}"/>
    <hyperlink ref="S62" r:id="rId6" tooltip="Кликните по гиперссылке, чтобы перейти по ней или отредактировать её" xr:uid="{F690C83D-C769-6693-9368-D38543DC1AF8}"/>
    <hyperlink ref="U62" r:id="rId7" tooltip="Кликните по гиперссылке, чтобы перейти по ней или отредактировать её" xr:uid="{4406A1A8-2F5D-1A7B-C0A1-AB02145DD448}"/>
    <hyperlink ref="W62" r:id="rId8" tooltip="Кликните по гиперссылке, чтобы перейти по ней или отредактировать её" xr:uid="{F2A4463A-6443-0958-003E-3EF0981C32B7}"/>
    <hyperlink ref="Y62" r:id="rId9" tooltip="Кликните по гиперссылке, чтобы перейти по ней или отредактировать её" xr:uid="{6F5DAF59-FD08-1188-F1C8-A40C169AA558}"/>
    <hyperlink ref="AA62" r:id="rId10" tooltip="Кликните по гиперссылке, чтобы перейти по ней или отредактировать её" xr:uid="{E6851B75-2FF8-1EE8-AAF8-88D57DB763E6}"/>
    <hyperlink ref="AC62" r:id="rId11" tooltip="Кликните по гиперссылке, чтобы перейти по ней или отредактировать её" xr:uid="{41D3127A-2F48-CDF8-8838-4571A6C88BE8}"/>
    <hyperlink ref="AE62" r:id="rId12" tooltip="Кликните по гиперссылке, чтобы перейти по ней или отредактировать её" xr:uid="{1E4DC41B-D955-BFA3-6FD8-3201BFEFC9F8}"/>
    <hyperlink ref="AG62" r:id="rId13" tooltip="Кликните по гиперссылке, чтобы перейти по ней или отредактировать её" xr:uid="{E4800358-10AE-E8D8-BD99-CF6FC4774877}"/>
    <hyperlink ref="AI62" r:id="rId14" tooltip="Кликните по гиперссылке, чтобы перейти по ней или отредактировать её" xr:uid="{66F85008-CF68-7558-6543-223908368BE6}"/>
    <hyperlink ref="AK62" r:id="rId15" tooltip="Кликните по гиперссылке, чтобы перейти по ней или отредактировать её" xr:uid="{CB666808-58C5-B168-DA07-8F9F5CC231C6}"/>
    <hyperlink ref="AM62" r:id="rId16" tooltip="Кликните по гиперссылке, чтобы перейти по ней или отредактировать её" xr:uid="{97EED17A-CAA8-B528-901F-748F68F9602C}"/>
    <hyperlink ref="AO62" r:id="rId17" tooltip="Кликните по гиперссылке, чтобы перейти по ней или отредактировать её" xr:uid="{785E8C38-4457-6463-51AD-A6D7F9117E29}"/>
    <hyperlink ref="AQ62" r:id="rId18" tooltip="Кликните по гиперссылке, чтобы перейти по ней или отредактировать её" xr:uid="{F0998178-3C33-5188-25DF-B2DFD663F7D8}"/>
    <hyperlink ref="AS62" r:id="rId19" tooltip="Кликните по гиперссылке, чтобы перейти по ней или отредактировать её" xr:uid="{B1D77EE8-1088-F43E-B1BB-32C2AF71975A}"/>
    <hyperlink ref="AU62" r:id="rId20" tooltip="Кликните по гиперссылке, чтобы перейти по ней или отредактировать её" xr:uid="{C2769A78-3F18-E568-EC18-3C798070C128}"/>
    <hyperlink ref="AW62" r:id="rId21" tooltip="Кликните по гиперссылке, чтобы перейти по ней или отредактировать её" xr:uid="{48EB24C8-0408-9508-2DFA-A8BE8CD92FA8}"/>
    <hyperlink ref="AY62" r:id="rId22" tooltip="Кликните по гиперссылке, чтобы перейти по ней или отредактировать её" xr:uid="{0B55D30D-4CD8-4E18-58DE-CBC37C685178}"/>
    <hyperlink ref="BA62" r:id="rId23" tooltip="Кликните по гиперссылке, чтобы перейти по ней или отредактировать её" xr:uid="{FF1705C2-E269-7818-21B7-85D9B17B4448}"/>
    <hyperlink ref="BC62" r:id="rId24" tooltip="Кликните по гиперссылке, чтобы перейти по ней или отредактировать её" xr:uid="{AACBCE78-D55A-3715-95F1-5F16A4F0F9E8}"/>
    <hyperlink ref="BE62" r:id="rId25" tooltip="Кликните по гиперссылке, чтобы перейти по ней или отредактировать её" xr:uid="{02B71AB8-211A-6848-BE6C-656986E1BE56}"/>
    <hyperlink ref="BG62" r:id="rId26" tooltip="Кликните по гиперссылке, чтобы перейти по ней или отредактировать её" xr:uid="{E8B0B91C-D5FB-34D8-2A38-E34935D00828}"/>
    <hyperlink ref="BI62" r:id="rId27" tooltip="Кликните по гиперссылке, чтобы перейти по ней или отредактировать её" xr:uid="{E38D4A68-1371-3C48-6636-74757A66AA9A}"/>
    <hyperlink ref="BK62" r:id="rId28" tooltip="Кликните по гиперссылке, чтобы перейти по ней или отредактировать её" xr:uid="{A99820F8-8B99-2FD8-63F8-69CEDE86CFED}"/>
    <hyperlink ref="BM62" r:id="rId29" tooltip="Кликните по гиперссылке, чтобы перейти по ней или отредактировать её" xr:uid="{48425728-3BF8-6DEE-64C2-5DC119D51B58}"/>
    <hyperlink ref="BO62" r:id="rId30" tooltip="Кликните по гиперссылке, чтобы перейти по ней или отредактировать её" xr:uid="{673FF476-8509-7042-EDE2-EFBF1158CBF8}"/>
    <hyperlink ref="BQ62" r:id="rId31" tooltip="Кликните по гиперссылке, чтобы перейти по ней или отредактировать её" xr:uid="{5BD24058-7DBA-6EA8-4A44-E37EEC99D29B}"/>
    <hyperlink ref="BS62" r:id="rId32" tooltip="Кликните по гиперссылке, чтобы перейти по ней или отредактировать её" xr:uid="{72B8F0F8-0DF8-5DC8-6D78-5137FACAF1CF}"/>
    <hyperlink ref="BU62" r:id="rId33" tooltip="Кликните по гиперссылке, чтобы перейти по ней или отредактировать её" xr:uid="{EFA20E6D-4628-2648-252B-089E3C036061}"/>
    <hyperlink ref="BW62" r:id="rId34" tooltip="Кликните по гиперссылке, чтобы перейти по ней или отредактировать её" xr:uid="{351B9C93-79D8-8CF8-886C-DF8120E82DBB}"/>
    <hyperlink ref="BY62" r:id="rId35" tooltip="Кликните по гиперссылке, чтобы перейти по ней или отредактировать её" xr:uid="{BB0B5307-2638-0BD8-BD48-FB7B39FFBA83}"/>
    <hyperlink ref="CA62" r:id="rId36" tooltip="Кликните по гиперссылке, чтобы перейти по ней или отредактировать её" xr:uid="{D23B22C8-FF35-5AA7-A154-E6CF55308C08}"/>
    <hyperlink ref="CC62" r:id="rId37" tooltip="Кликните по гиперссылке, чтобы перейти по ней или отредактировать её" xr:uid="{580ADD68-1758-DCC7-FA28-0C60B09C2788}"/>
    <hyperlink ref="CE62" r:id="rId38" tooltip="Кликните по гиперссылке, чтобы перейти по ней или отредактировать её" xr:uid="{1121C628-FF32-55C7-13E7-986C5F457DD1}"/>
    <hyperlink ref="CG62" r:id="rId39" tooltip="Кликните по гиперссылке, чтобы перейти по ней или отредактировать её" xr:uid="{7D183378-48AB-E882-DB49-76CD872D03EA}"/>
    <hyperlink ref="I63" r:id="rId40" tooltip="Кликните по гиперссылке, чтобы перейти по ней или отредактировать её" xr:uid="{4B62C3DF-663F-C8E8-7208-AAEC0C1C9F89}"/>
    <hyperlink ref="K63" r:id="rId41" tooltip="Кликните по гиперссылке, чтобы перейти по ней или отредактировать её" xr:uid="{F1A90D38-F398-3D9E-5318-49B60FD9E5F8}"/>
    <hyperlink ref="M63" r:id="rId42" tooltip="Кликните по гиперссылке, чтобы перейти по ней или отредактировать её" xr:uid="{FE17FDFD-94C8-12AE-407B-07C96E50C97E}"/>
    <hyperlink ref="O63" r:id="rId43" tooltip="Кликните по гиперссылке, чтобы перейти по ней или отредактировать её" xr:uid="{30461AD8-FB52-FFA3-DDB8-DFEF5A769458}"/>
    <hyperlink ref="Q63" r:id="rId44" tooltip="Кликните по гиперссылке, чтобы перейти по ней или отредактировать её" xr:uid="{9B7F2B48-63B1-F728-64EB-51137031D56D}"/>
    <hyperlink ref="S63" r:id="rId45" tooltip="Кликните по гиперссылке, чтобы перейти по ней или отредактировать её" xr:uid="{66AB891C-A448-37E8-2858-B4C2BA862F38}"/>
    <hyperlink ref="U63" r:id="rId46" tooltip="Кликните по гиперссылке, чтобы перейти по ней или отредактировать её" xr:uid="{ED4A6698-1B78-00C2-805B-B3E11B85DE68}"/>
    <hyperlink ref="W63" r:id="rId47" tooltip="Кликните по гиперссылке, чтобы перейти по ней или отредактировать её" xr:uid="{68F40448-FA9A-8438-ED93-56975E9A95A8}"/>
    <hyperlink ref="Y63" r:id="rId48" tooltip="Кликните по гиперссылке, чтобы перейти по ней или отредактировать её" xr:uid="{0B28553D-FCA8-D738-C8C9-3B677B5CC51C}"/>
    <hyperlink ref="AA63" r:id="rId49" tooltip="Кликните по гиперссылке, чтобы перейти по ней или отредактировать её" xr:uid="{75E8CE23-A196-1C15-2C52-8C01BD716FD8}"/>
    <hyperlink ref="AC63" r:id="rId50" tooltip="Кликните по гиперссылке, чтобы перейти по ней или отредактировать её" xr:uid="{BD0F1669-C2D8-AF68-D188-337C09317998}"/>
    <hyperlink ref="AE63" r:id="rId51" tooltip="Кликните по гиперссылке, чтобы перейти по ней или отредактировать её" xr:uid="{1F3D5929-F306-A768-3623-F84FE00E85E8}"/>
    <hyperlink ref="AG63" r:id="rId52" tooltip="Кликните по гиперссылке, чтобы перейти по ней или отредактировать её" xr:uid="{7D29F8C8-4AC8-0A28-75CB-007A1AF2E318}"/>
    <hyperlink ref="AI63" r:id="rId53" tooltip="Кликните по гиперссылке, чтобы перейти по ней или отредактировать её" xr:uid="{32CB343D-A9C8-9CF4-C4F8-7618C37E5D48}"/>
    <hyperlink ref="AK63" r:id="rId54" tooltip="Кликните по гиперссылке, чтобы перейти по ней или отредактировать её" xr:uid="{078F7A61-5438-8998-8451-10713CA0A834}"/>
    <hyperlink ref="AM63" r:id="rId55" tooltip="Кликните по гиперссылке, чтобы перейти по ней или отредактировать её" xr:uid="{263CA4FF-D658-6408-D2D7-98A45D6977E4}"/>
    <hyperlink ref="AO63" r:id="rId56" tooltip="Кликните по гиперссылке, чтобы перейти по ней или отредактировать её" xr:uid="{8F60D7D1-74A8-76B3-FCF8-00F2AB2ADE1F}"/>
    <hyperlink ref="AQ63" r:id="rId57" tooltip="Кликните по гиперссылке, чтобы перейти по ней или отредактировать её" xr:uid="{D1A3B038-AF8F-4508-607A-1BCEF0561CE8}"/>
    <hyperlink ref="AS63" r:id="rId58" tooltip="Кликните по гиперссылке, чтобы перейти по ней или отредактировать её" xr:uid="{51C737D8-9E68-3D86-F968-D921210A36A4}"/>
    <hyperlink ref="AU63" r:id="rId59" tooltip="Кликните по гиперссылке, чтобы перейти по ней или отредактировать её" xr:uid="{CB3C1DB8-8D48-41DD-942D-080A4F6C1448}"/>
    <hyperlink ref="AW63" r:id="rId60" tooltip="Кликните по гиперссылке, чтобы перейти по ней или отредактировать её" xr:uid="{CB690AE8-C97D-5CC8-AE02-82E970349D33}"/>
    <hyperlink ref="AY63" r:id="rId61" tooltip="Кликните по гиперссылке, чтобы перейти по ней или отредактировать её" xr:uid="{B6409AC2-C563-04DA-45FE-DF631C068CE8}"/>
    <hyperlink ref="BA63" r:id="rId62" tooltip="Кликните по гиперссылке, чтобы перейти по ней или отредактировать её" xr:uid="{8D8660FA-21A8-6349-4628-9D704CB6FA1E}"/>
    <hyperlink ref="BC63" r:id="rId63" tooltip="Кликните по гиперссылке, чтобы перейти по ней или отредактировать её" xr:uid="{A801EF25-4678-BC54-52D8-86E7F9972D38}"/>
    <hyperlink ref="BE63" r:id="rId64" tooltip="Кликните по гиперссылке, чтобы перейти по ней или отредактировать её" xr:uid="{77F42B58-5028-B381-DAD8-E39F7C520F38}"/>
    <hyperlink ref="BG63" r:id="rId65" tooltip="Кликните по гиперссылке, чтобы перейти по ней или отредактировать её" xr:uid="{B8329CEF-E937-DF28-0B77-0C54668A8E96}"/>
    <hyperlink ref="BI63" r:id="rId66" tooltip="Кликните по гиперссылке, чтобы перейти по ней или отредактировать её" xr:uid="{A0994F98-9578-EAFC-1389-71ED70B1B318}"/>
    <hyperlink ref="BK63" r:id="rId67" tooltip="Кликните по гиперссылке, чтобы перейти по ней или отредактировать её" xr:uid="{34742038-22E8-4735-1698-D42303054CB8}"/>
    <hyperlink ref="BM63" r:id="rId68" tooltip="Кликните по гиперссылке, чтобы перейти по ней или отредактировать её" xr:uid="{B3C234F8-E4F6-1378-80F7-A39F1A17C2D8}"/>
    <hyperlink ref="BO63" r:id="rId69" tooltip="Кликните по гиперссылке, чтобы перейти по ней или отредактировать её" xr:uid="{27B2FF18-9EC8-9B55-2438-9CB34248A8E8}"/>
    <hyperlink ref="BQ63" r:id="rId70" tooltip="Кликните по гиперссылке, чтобы перейти по ней или отредактировать её" xr:uid="{CB054218-69FB-E178-EF5F-A3E5011717A8}"/>
    <hyperlink ref="BS63" r:id="rId71" tooltip="Кликните по гиперссылке, чтобы перейти по ней или отредактировать её" xr:uid="{CB4A5504-08E7-2CCA-E189-79FD678364E8}"/>
    <hyperlink ref="BU63" r:id="rId72" tooltip="Кликните по гиперссылке, чтобы перейти по ней или отредактировать её" xr:uid="{BA68C078-D3FD-EED8-5C38-859FEE6E84DE}"/>
    <hyperlink ref="BW63" r:id="rId73" tooltip="Кликните по гиперссылке, чтобы перейти по ней или отредактировать её" xr:uid="{B2E98EB8-CF1D-EC28-F0C9-1823A8CB056C}"/>
    <hyperlink ref="BY63" r:id="rId74" tooltip="Кликните по гиперссылке, чтобы перейти по ней или отредактировать её" xr:uid="{016A4258-331A-4F16-40D8-251A14423D88}"/>
    <hyperlink ref="CA63" r:id="rId75" tooltip="Кликните по гиперссылке, чтобы перейти по ней или отредактировать её" xr:uid="{93A80CFA-639C-2058-0B48-EBF78A6A3C37}"/>
    <hyperlink ref="CC63" r:id="rId76" tooltip="Кликните по гиперссылке, чтобы перейти по ней или отредактировать её" xr:uid="{BFEEA7B8-B4A8-8EC8-3738-18A3A53E3CB2}"/>
    <hyperlink ref="CE63" r:id="rId77" tooltip="Кликните по гиперссылке, чтобы перейти по ней или отредактировать её" xr:uid="{39CF710B-4F38-4C32-E6B9-A2CA3D6077C8}"/>
    <hyperlink ref="CG63" r:id="rId78" tooltip="Кликните по гиперссылке, чтобы перейти по ней или отредактировать её" xr:uid="{DF1AD8B7-1FD8-81F8-9278-63727F086C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8648-A4B8-0F11-AE02-74ADFBA28A1D}" mc:Ignorable="x14ac xr xr2 xr3">
  <sheetPr>
    <tabColor rgb="FFE26B0A"/>
  </sheetPr>
  <dimension ref="A1:CT40"/>
  <sheetViews>
    <sheetView showGridLines="0" zoomScale="90" workbookViewId="0">
      <pane xSplit="8" ySplit="31" topLeftCell="CM32" activePane="bottomRight" state="frozen"/>
      <selection pane="bottomLeft" activeCell="A32" sqref="A32"/>
      <selection pane="topRight" activeCell="I1" sqref="I1"/>
      <selection pane="bottomRight" activeCell="CM25" sqref="C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639" width="25.7109375" customWidth="1"/>
    <col min="40" max="40" style="1639" width="33.7109375" customWidth="1"/>
    <col min="41" max="41" style="1639" width="25.7109375" customWidth="1"/>
    <col min="42" max="42" style="1639" width="33.7109375" customWidth="1"/>
    <col min="43" max="43" style="1639" width="25.7109375" customWidth="1"/>
    <col min="44" max="44" style="1639" width="33.7109375" customWidth="1"/>
    <col min="45" max="45" style="1639" width="25.7109375" customWidth="1"/>
    <col min="46" max="46" style="1639" width="33.7109375" customWidth="1"/>
    <col min="47" max="47" style="1639" width="25.7109375" customWidth="1"/>
    <col min="48" max="48" style="1639" width="33.7109375" customWidth="1"/>
    <col min="49" max="49" style="1639" width="25.7109375" customWidth="1"/>
    <col min="50" max="50" style="1639" width="33.7109375" customWidth="1"/>
    <col min="51" max="51" style="1639" width="25.7109375" customWidth="1"/>
    <col min="52" max="52" style="1639" width="33.7109375" customWidth="1"/>
    <col min="53" max="53" style="1639" width="25.7109375" customWidth="1"/>
    <col min="54" max="54" style="1639" width="33.7109375" customWidth="1"/>
    <col min="55" max="55" style="1639" width="25.7109375" customWidth="1"/>
    <col min="56" max="56" style="1639" width="33.7109375" customWidth="1"/>
    <col min="57" max="57" style="1639" width="25.7109375" customWidth="1"/>
    <col min="58" max="58" style="1639" width="33.7109375" customWidth="1"/>
    <col min="59" max="59" style="1639" width="25.7109375" customWidth="1"/>
    <col min="60" max="60" style="1639" width="33.7109375" customWidth="1"/>
    <col min="61" max="61" style="1639" width="25.7109375" customWidth="1"/>
    <col min="62" max="62" style="1639" width="33.7109375" customWidth="1"/>
    <col min="63" max="63" style="1639" width="25.7109375" customWidth="1"/>
    <col min="64" max="64" style="1639" width="33.7109375" customWidth="1"/>
    <col min="65" max="65" style="1639" width="25.7109375" customWidth="1"/>
    <col min="66" max="66" style="1639" width="33.7109375" customWidth="1"/>
    <col min="67" max="67" style="1639" width="25.7109375" customWidth="1"/>
    <col min="68" max="68" style="1639" width="33.7109375" customWidth="1"/>
    <col min="69" max="69" style="1639" width="25.7109375" customWidth="1"/>
    <col min="70" max="70" style="1639" width="33.7109375" customWidth="1"/>
    <col min="71" max="71" style="1639" width="25.7109375" customWidth="1"/>
    <col min="72" max="72" style="1639" width="33.7109375" customWidth="1"/>
    <col min="73" max="73" style="1639" width="25.7109375" customWidth="1"/>
    <col min="74" max="74" style="1639" width="33.7109375" customWidth="1"/>
    <col min="75" max="75" style="1639" width="25.7109375" customWidth="1"/>
    <col min="76" max="76" style="1639" width="33.7109375" customWidth="1"/>
    <col min="77" max="77" style="1639" width="25.7109375" customWidth="1"/>
    <col min="78" max="78" style="1639" width="33.7109375" customWidth="1"/>
    <col min="79" max="79" style="1639" width="25.7109375" customWidth="1"/>
    <col min="80" max="80" style="1639" width="33.7109375" customWidth="1"/>
    <col min="81" max="81" style="1639" width="25.7109375" customWidth="1"/>
    <col min="82" max="82" style="1639" width="33.7109375" customWidth="1"/>
    <col min="83" max="83" style="1639" width="25.7109375" customWidth="1"/>
    <col min="84" max="84" style="1639" width="33.7109375" customWidth="1"/>
    <col min="85" max="85" style="1639" width="25.7109375" customWidth="1"/>
    <col min="86" max="86" style="1639" width="33.7109375" customWidth="1"/>
    <col min="87" max="87" style="1370" width="93.00390625" customWidth="1"/>
    <col min="88" max="96" style="1639" width="10.00390625" customWidth="1"/>
    <col min="97" max="97" style="679" width="10.00390625" customWidth="1"/>
    <col min="98" max="98"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t="s">
        <v>89</v>
      </c>
      <c r="BT1" s="1370"/>
      <c r="BU1" s="1370">
        <v>4</v>
      </c>
      <c r="BV1" s="1370"/>
      <c r="BW1" s="1370" t="s">
        <v>89</v>
      </c>
      <c r="BX1" s="1370"/>
      <c r="BY1" s="1370" t="s">
        <v>89</v>
      </c>
      <c r="BZ1" s="1370"/>
      <c r="CA1" s="1370">
        <v>4</v>
      </c>
      <c r="CB1" s="1370"/>
      <c r="CC1" s="1370">
        <v>4</v>
      </c>
      <c r="CD1" s="1370"/>
      <c r="CE1" s="1370">
        <v>4</v>
      </c>
      <c r="CF1" s="1370"/>
      <c r="CG1" s="1370">
        <v>4</v>
      </c>
      <c r="CH1" s="1370"/>
      <c r="CS1" s="424"/>
      <c r="CT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BS2" s="1370"/>
      <c r="BT2" s="1370"/>
      <c r="BU2" s="1370"/>
      <c r="BV2" s="1370"/>
      <c r="BW2" s="1370"/>
      <c r="BX2" s="1370"/>
      <c r="BY2" s="1370"/>
      <c r="BZ2" s="1370"/>
      <c r="CA2" s="1370"/>
      <c r="CB2" s="1370"/>
      <c r="CC2" s="1370"/>
      <c r="CD2" s="1370"/>
      <c r="CE2" s="1370"/>
      <c r="CF2" s="1370"/>
      <c r="CG2" s="1370"/>
      <c r="CH2" s="1370"/>
      <c r="CS2" s="424"/>
      <c r="CT2" s="421">
        <v>0</v>
      </c>
    </row>
    <row customHeight="1" ht="22.5" hidden="1">
      <c r="A3" s="509"/>
      <c r="B3" s="2414"/>
      <c r="C3" s="2415" t="s">
        <v>103</v>
      </c>
      <c r="D3" s="693" t="str">
        <f>B3&amp;".1"</f>
        <v>.1</v>
      </c>
      <c r="E3" s="694" t="s">
        <v>1136</v>
      </c>
      <c r="F3" s="695" t="s">
        <v>444</v>
      </c>
      <c r="G3" s="690"/>
      <c r="H3" s="405"/>
      <c r="I3" s="690"/>
      <c r="J3" s="405"/>
      <c r="K3" s="2370"/>
      <c r="L3" s="822"/>
      <c r="M3" s="2370"/>
      <c r="N3" s="822"/>
      <c r="O3" s="2370"/>
      <c r="P3" s="822"/>
      <c r="Q3" s="2370"/>
      <c r="R3" s="822"/>
      <c r="S3" s="2370"/>
      <c r="T3" s="822"/>
      <c r="U3" s="2370"/>
      <c r="V3" s="822"/>
      <c r="W3" s="2370"/>
      <c r="X3" s="822"/>
      <c r="Y3" s="2370"/>
      <c r="Z3" s="822"/>
      <c r="AA3" s="2370"/>
      <c r="AB3" s="822"/>
      <c r="AC3" s="2370"/>
      <c r="AD3" s="822"/>
      <c r="AE3" s="2370"/>
      <c r="AF3" s="822"/>
      <c r="AG3" s="2370"/>
      <c r="AH3" s="822"/>
      <c r="AI3" s="2370"/>
      <c r="AJ3" s="822"/>
      <c r="AK3" s="2370"/>
      <c r="AL3" s="822"/>
      <c r="AM3" s="2370"/>
      <c r="AN3" s="822"/>
      <c r="AO3" s="2370"/>
      <c r="AP3" s="822"/>
      <c r="AQ3" s="2370"/>
      <c r="AR3" s="822"/>
      <c r="AS3" s="2370"/>
      <c r="AT3" s="822"/>
      <c r="AU3" s="2370"/>
      <c r="AV3" s="822"/>
      <c r="AW3" s="2370"/>
      <c r="AX3" s="822"/>
      <c r="AY3" s="2370"/>
      <c r="AZ3" s="822"/>
      <c r="BA3" s="2370"/>
      <c r="BB3" s="822"/>
      <c r="BC3" s="2370"/>
      <c r="BD3" s="822"/>
      <c r="BE3" s="2370"/>
      <c r="BF3" s="822"/>
      <c r="BG3" s="2370"/>
      <c r="BH3" s="822"/>
      <c r="BI3" s="2370"/>
      <c r="BJ3" s="822"/>
      <c r="BK3" s="2370"/>
      <c r="BL3" s="822"/>
      <c r="BM3" s="2370"/>
      <c r="BN3" s="822"/>
      <c r="BO3" s="2370"/>
      <c r="BP3" s="822"/>
      <c r="BQ3" s="2370"/>
      <c r="BR3" s="822"/>
      <c r="BS3" s="2370"/>
      <c r="BT3" s="822"/>
      <c r="BU3" s="2370"/>
      <c r="BV3" s="822"/>
      <c r="BW3" s="2370"/>
      <c r="BX3" s="822"/>
      <c r="BY3" s="2370"/>
      <c r="BZ3" s="822"/>
      <c r="CA3" s="2370"/>
      <c r="CB3" s="822"/>
      <c r="CC3" s="2370"/>
      <c r="CD3" s="822"/>
      <c r="CE3" s="2370"/>
      <c r="CF3" s="822"/>
      <c r="CG3" s="2370"/>
      <c r="CH3" s="822"/>
      <c r="CI3" s="293" t="s">
        <v>1137</v>
      </c>
      <c r="CT3" s="509">
        <v>0</v>
      </c>
    </row>
    <row customHeight="1" ht="15" hidden="1">
      <c r="A4" s="509"/>
      <c r="B4" s="2414"/>
      <c r="C4" s="2415"/>
      <c r="D4" s="693" t="str">
        <f>B3&amp;".2"</f>
        <v>.2</v>
      </c>
      <c r="E4" s="694" t="s">
        <v>1138</v>
      </c>
      <c r="F4" s="695" t="s">
        <v>444</v>
      </c>
      <c r="G4" s="1741" t="s">
        <v>22</v>
      </c>
      <c r="H4" s="405"/>
      <c r="I4" s="1741" t="s">
        <v>22</v>
      </c>
      <c r="J4" s="405"/>
      <c r="K4" s="1741" t="s">
        <v>22</v>
      </c>
      <c r="L4" s="822"/>
      <c r="M4" s="1741" t="s">
        <v>22</v>
      </c>
      <c r="N4" s="822"/>
      <c r="O4" s="1741" t="s">
        <v>22</v>
      </c>
      <c r="P4" s="822"/>
      <c r="Q4" s="1741" t="s">
        <v>22</v>
      </c>
      <c r="R4" s="822"/>
      <c r="S4" s="1741" t="s">
        <v>22</v>
      </c>
      <c r="T4" s="822"/>
      <c r="U4" s="1741" t="s">
        <v>22</v>
      </c>
      <c r="V4" s="822"/>
      <c r="W4" s="1741" t="s">
        <v>22</v>
      </c>
      <c r="X4" s="822"/>
      <c r="Y4" s="1741" t="s">
        <v>22</v>
      </c>
      <c r="Z4" s="822"/>
      <c r="AA4" s="1741" t="s">
        <v>22</v>
      </c>
      <c r="AB4" s="822"/>
      <c r="AC4" s="1741" t="s">
        <v>22</v>
      </c>
      <c r="AD4" s="822"/>
      <c r="AE4" s="1741" t="s">
        <v>22</v>
      </c>
      <c r="AF4" s="822"/>
      <c r="AG4" s="1741" t="s">
        <v>22</v>
      </c>
      <c r="AH4" s="822"/>
      <c r="AI4" s="1741" t="s">
        <v>22</v>
      </c>
      <c r="AJ4" s="822"/>
      <c r="AK4" s="1741" t="s">
        <v>22</v>
      </c>
      <c r="AL4" s="822"/>
      <c r="AM4" s="1741" t="s">
        <v>22</v>
      </c>
      <c r="AN4" s="822"/>
      <c r="AO4" s="1741" t="s">
        <v>22</v>
      </c>
      <c r="AP4" s="822"/>
      <c r="AQ4" s="1741" t="s">
        <v>22</v>
      </c>
      <c r="AR4" s="822"/>
      <c r="AS4" s="1741" t="s">
        <v>22</v>
      </c>
      <c r="AT4" s="822"/>
      <c r="AU4" s="1741" t="s">
        <v>22</v>
      </c>
      <c r="AV4" s="822"/>
      <c r="AW4" s="1741" t="s">
        <v>22</v>
      </c>
      <c r="AX4" s="822"/>
      <c r="AY4" s="1741" t="s">
        <v>22</v>
      </c>
      <c r="AZ4" s="822"/>
      <c r="BA4" s="1741" t="s">
        <v>22</v>
      </c>
      <c r="BB4" s="822"/>
      <c r="BC4" s="1741" t="s">
        <v>22</v>
      </c>
      <c r="BD4" s="822"/>
      <c r="BE4" s="1741" t="s">
        <v>22</v>
      </c>
      <c r="BF4" s="822"/>
      <c r="BG4" s="1741" t="s">
        <v>22</v>
      </c>
      <c r="BH4" s="822"/>
      <c r="BI4" s="1741" t="s">
        <v>22</v>
      </c>
      <c r="BJ4" s="822"/>
      <c r="BK4" s="1741" t="s">
        <v>22</v>
      </c>
      <c r="BL4" s="822"/>
      <c r="BM4" s="1741" t="s">
        <v>22</v>
      </c>
      <c r="BN4" s="822"/>
      <c r="BO4" s="1741" t="s">
        <v>22</v>
      </c>
      <c r="BP4" s="822"/>
      <c r="BQ4" s="1741" t="s">
        <v>22</v>
      </c>
      <c r="BR4" s="822"/>
      <c r="BS4" s="1741" t="s">
        <v>22</v>
      </c>
      <c r="BT4" s="822"/>
      <c r="BU4" s="1741" t="s">
        <v>22</v>
      </c>
      <c r="BV4" s="822"/>
      <c r="BW4" s="1741" t="s">
        <v>22</v>
      </c>
      <c r="BX4" s="822"/>
      <c r="BY4" s="1741" t="s">
        <v>22</v>
      </c>
      <c r="BZ4" s="822"/>
      <c r="CA4" s="1741" t="s">
        <v>22</v>
      </c>
      <c r="CB4" s="822"/>
      <c r="CC4" s="1741" t="s">
        <v>22</v>
      </c>
      <c r="CD4" s="822"/>
      <c r="CE4" s="1741" t="s">
        <v>22</v>
      </c>
      <c r="CF4" s="822"/>
      <c r="CG4" s="1741" t="s">
        <v>22</v>
      </c>
      <c r="CH4" s="822"/>
      <c r="CI4" s="293" t="s">
        <v>1139</v>
      </c>
      <c r="CT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BQ5" s="1370"/>
      <c r="BR5" s="1370"/>
      <c r="BS5" s="1370"/>
      <c r="BT5" s="1370"/>
      <c r="BU5" s="1370"/>
      <c r="BV5" s="1370"/>
      <c r="BW5" s="1370"/>
      <c r="BX5" s="1370"/>
      <c r="BY5" s="1370"/>
      <c r="BZ5" s="1370"/>
      <c r="CA5" s="1370"/>
      <c r="CB5" s="1370"/>
      <c r="CC5" s="1370"/>
      <c r="CD5" s="1370"/>
      <c r="CE5" s="1370"/>
      <c r="CF5" s="1370"/>
      <c r="CG5" s="1370"/>
      <c r="CH5" s="1370"/>
      <c r="CS5" s="424"/>
      <c r="CT5" s="421">
        <v>0</v>
      </c>
    </row>
    <row customHeight="1" ht="22.5" hidden="1">
      <c r="A6" s="509"/>
      <c r="B6" s="2414"/>
      <c r="C6" s="2415" t="s">
        <v>103</v>
      </c>
      <c r="D6" s="693" t="str">
        <f>B6&amp;".1"</f>
        <v>.1</v>
      </c>
      <c r="E6" s="694" t="s">
        <v>1140</v>
      </c>
      <c r="F6" s="695" t="s">
        <v>444</v>
      </c>
      <c r="G6" s="690"/>
      <c r="H6" s="405"/>
      <c r="I6" s="690"/>
      <c r="J6" s="405"/>
      <c r="K6" s="2370"/>
      <c r="L6" s="822"/>
      <c r="M6" s="2370"/>
      <c r="N6" s="822"/>
      <c r="O6" s="2370"/>
      <c r="P6" s="822"/>
      <c r="Q6" s="2370"/>
      <c r="R6" s="822"/>
      <c r="S6" s="2370"/>
      <c r="T6" s="822"/>
      <c r="U6" s="2370"/>
      <c r="V6" s="822"/>
      <c r="W6" s="2370"/>
      <c r="X6" s="822"/>
      <c r="Y6" s="2370"/>
      <c r="Z6" s="822"/>
      <c r="AA6" s="2370"/>
      <c r="AB6" s="822"/>
      <c r="AC6" s="2370"/>
      <c r="AD6" s="822"/>
      <c r="AE6" s="2370"/>
      <c r="AF6" s="822"/>
      <c r="AG6" s="2370"/>
      <c r="AH6" s="822"/>
      <c r="AI6" s="2370"/>
      <c r="AJ6" s="822"/>
      <c r="AK6" s="2370"/>
      <c r="AL6" s="822"/>
      <c r="AM6" s="2370"/>
      <c r="AN6" s="822"/>
      <c r="AO6" s="2370"/>
      <c r="AP6" s="822"/>
      <c r="AQ6" s="2370"/>
      <c r="AR6" s="822"/>
      <c r="AS6" s="2370"/>
      <c r="AT6" s="822"/>
      <c r="AU6" s="2370"/>
      <c r="AV6" s="822"/>
      <c r="AW6" s="2370"/>
      <c r="AX6" s="822"/>
      <c r="AY6" s="2370"/>
      <c r="AZ6" s="822"/>
      <c r="BA6" s="2370"/>
      <c r="BB6" s="822"/>
      <c r="BC6" s="2370"/>
      <c r="BD6" s="822"/>
      <c r="BE6" s="2370"/>
      <c r="BF6" s="822"/>
      <c r="BG6" s="2370"/>
      <c r="BH6" s="822"/>
      <c r="BI6" s="2370"/>
      <c r="BJ6" s="822"/>
      <c r="BK6" s="2370"/>
      <c r="BL6" s="822"/>
      <c r="BM6" s="2370"/>
      <c r="BN6" s="822"/>
      <c r="BO6" s="2370"/>
      <c r="BP6" s="822"/>
      <c r="BQ6" s="2370"/>
      <c r="BR6" s="822"/>
      <c r="BS6" s="2370"/>
      <c r="BT6" s="822"/>
      <c r="BU6" s="2370"/>
      <c r="BV6" s="822"/>
      <c r="BW6" s="2370"/>
      <c r="BX6" s="822"/>
      <c r="BY6" s="2370"/>
      <c r="BZ6" s="822"/>
      <c r="CA6" s="2370"/>
      <c r="CB6" s="822"/>
      <c r="CC6" s="2370"/>
      <c r="CD6" s="822"/>
      <c r="CE6" s="2370"/>
      <c r="CF6" s="822"/>
      <c r="CG6" s="2370"/>
      <c r="CH6" s="822"/>
      <c r="CI6" s="293" t="s">
        <v>1141</v>
      </c>
      <c r="CT6" s="509">
        <v>0</v>
      </c>
    </row>
    <row customHeight="1" ht="15" hidden="1">
      <c r="A7" s="509"/>
      <c r="B7" s="2414"/>
      <c r="C7" s="2415"/>
      <c r="D7" s="693" t="str">
        <f>B6&amp;".2"</f>
        <v>.2</v>
      </c>
      <c r="E7" s="694" t="s">
        <v>1138</v>
      </c>
      <c r="F7" s="695" t="s">
        <v>444</v>
      </c>
      <c r="G7" s="1741" t="s">
        <v>22</v>
      </c>
      <c r="H7" s="405"/>
      <c r="I7" s="1741" t="s">
        <v>22</v>
      </c>
      <c r="J7" s="405"/>
      <c r="K7" s="1741" t="s">
        <v>22</v>
      </c>
      <c r="L7" s="822"/>
      <c r="M7" s="1741" t="s">
        <v>22</v>
      </c>
      <c r="N7" s="822"/>
      <c r="O7" s="1741" t="s">
        <v>22</v>
      </c>
      <c r="P7" s="822"/>
      <c r="Q7" s="1741" t="s">
        <v>22</v>
      </c>
      <c r="R7" s="822"/>
      <c r="S7" s="1741" t="s">
        <v>22</v>
      </c>
      <c r="T7" s="822"/>
      <c r="U7" s="1741" t="s">
        <v>22</v>
      </c>
      <c r="V7" s="822"/>
      <c r="W7" s="1741" t="s">
        <v>22</v>
      </c>
      <c r="X7" s="822"/>
      <c r="Y7" s="1741" t="s">
        <v>22</v>
      </c>
      <c r="Z7" s="822"/>
      <c r="AA7" s="1741" t="s">
        <v>22</v>
      </c>
      <c r="AB7" s="822"/>
      <c r="AC7" s="1741" t="s">
        <v>22</v>
      </c>
      <c r="AD7" s="822"/>
      <c r="AE7" s="1741" t="s">
        <v>22</v>
      </c>
      <c r="AF7" s="822"/>
      <c r="AG7" s="1741" t="s">
        <v>22</v>
      </c>
      <c r="AH7" s="822"/>
      <c r="AI7" s="1741" t="s">
        <v>22</v>
      </c>
      <c r="AJ7" s="822"/>
      <c r="AK7" s="1741" t="s">
        <v>22</v>
      </c>
      <c r="AL7" s="822"/>
      <c r="AM7" s="1741" t="s">
        <v>22</v>
      </c>
      <c r="AN7" s="822"/>
      <c r="AO7" s="1741" t="s">
        <v>22</v>
      </c>
      <c r="AP7" s="822"/>
      <c r="AQ7" s="1741" t="s">
        <v>22</v>
      </c>
      <c r="AR7" s="822"/>
      <c r="AS7" s="1741" t="s">
        <v>22</v>
      </c>
      <c r="AT7" s="822"/>
      <c r="AU7" s="1741" t="s">
        <v>22</v>
      </c>
      <c r="AV7" s="822"/>
      <c r="AW7" s="1741" t="s">
        <v>22</v>
      </c>
      <c r="AX7" s="822"/>
      <c r="AY7" s="1741" t="s">
        <v>22</v>
      </c>
      <c r="AZ7" s="822"/>
      <c r="BA7" s="1741" t="s">
        <v>22</v>
      </c>
      <c r="BB7" s="822"/>
      <c r="BC7" s="1741" t="s">
        <v>22</v>
      </c>
      <c r="BD7" s="822"/>
      <c r="BE7" s="1741" t="s">
        <v>22</v>
      </c>
      <c r="BF7" s="822"/>
      <c r="BG7" s="1741" t="s">
        <v>22</v>
      </c>
      <c r="BH7" s="822"/>
      <c r="BI7" s="1741" t="s">
        <v>22</v>
      </c>
      <c r="BJ7" s="822"/>
      <c r="BK7" s="1741" t="s">
        <v>22</v>
      </c>
      <c r="BL7" s="822"/>
      <c r="BM7" s="1741" t="s">
        <v>22</v>
      </c>
      <c r="BN7" s="822"/>
      <c r="BO7" s="1741" t="s">
        <v>22</v>
      </c>
      <c r="BP7" s="822"/>
      <c r="BQ7" s="1741" t="s">
        <v>22</v>
      </c>
      <c r="BR7" s="822"/>
      <c r="BS7" s="1741" t="s">
        <v>22</v>
      </c>
      <c r="BT7" s="822"/>
      <c r="BU7" s="1741" t="s">
        <v>22</v>
      </c>
      <c r="BV7" s="822"/>
      <c r="BW7" s="1741" t="s">
        <v>22</v>
      </c>
      <c r="BX7" s="822"/>
      <c r="BY7" s="1741" t="s">
        <v>22</v>
      </c>
      <c r="BZ7" s="822"/>
      <c r="CA7" s="1741" t="s">
        <v>22</v>
      </c>
      <c r="CB7" s="822"/>
      <c r="CC7" s="1741" t="s">
        <v>22</v>
      </c>
      <c r="CD7" s="822"/>
      <c r="CE7" s="1741" t="s">
        <v>22</v>
      </c>
      <c r="CF7" s="822"/>
      <c r="CG7" s="1741" t="s">
        <v>22</v>
      </c>
      <c r="CH7" s="822"/>
      <c r="CI7" s="293" t="s">
        <v>1139</v>
      </c>
      <c r="CT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BQ8" s="1370"/>
      <c r="BR8" s="1370"/>
      <c r="BS8" s="1370"/>
      <c r="BT8" s="1370"/>
      <c r="BU8" s="1370"/>
      <c r="BV8" s="1370"/>
      <c r="BW8" s="1370"/>
      <c r="BX8" s="1370"/>
      <c r="BY8" s="1370"/>
      <c r="BZ8" s="1370"/>
      <c r="CA8" s="1370"/>
      <c r="CB8" s="1370"/>
      <c r="CC8" s="1370"/>
      <c r="CD8" s="1370"/>
      <c r="CE8" s="1370"/>
      <c r="CF8" s="1370"/>
      <c r="CG8" s="1370"/>
      <c r="CH8" s="1370"/>
      <c r="CS8" s="424"/>
      <c r="CT8" s="421">
        <v>0</v>
      </c>
    </row>
    <row customHeight="1" ht="22.5" hidden="1">
      <c r="A9" s="509"/>
      <c r="B9" s="2414"/>
      <c r="C9" s="2415" t="s">
        <v>103</v>
      </c>
      <c r="D9" s="693" t="str">
        <f>B9&amp;".1"</f>
        <v>.1</v>
      </c>
      <c r="E9" s="694" t="s">
        <v>1142</v>
      </c>
      <c r="F9" s="695" t="s">
        <v>444</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865" t="s">
        <v>22</v>
      </c>
      <c r="AN9" s="822" t="s">
        <v>22</v>
      </c>
      <c r="AO9" s="865" t="s">
        <v>22</v>
      </c>
      <c r="AP9" s="822" t="s">
        <v>22</v>
      </c>
      <c r="AQ9" s="865" t="s">
        <v>22</v>
      </c>
      <c r="AR9" s="822" t="s">
        <v>22</v>
      </c>
      <c r="AS9" s="865" t="s">
        <v>22</v>
      </c>
      <c r="AT9" s="822" t="s">
        <v>22</v>
      </c>
      <c r="AU9" s="865" t="s">
        <v>22</v>
      </c>
      <c r="AV9" s="822" t="s">
        <v>22</v>
      </c>
      <c r="AW9" s="865" t="s">
        <v>22</v>
      </c>
      <c r="AX9" s="822" t="s">
        <v>22</v>
      </c>
      <c r="AY9" s="865" t="s">
        <v>22</v>
      </c>
      <c r="AZ9" s="822" t="s">
        <v>22</v>
      </c>
      <c r="BA9" s="865" t="s">
        <v>22</v>
      </c>
      <c r="BB9" s="822" t="s">
        <v>22</v>
      </c>
      <c r="BC9" s="865" t="s">
        <v>22</v>
      </c>
      <c r="BD9" s="822" t="s">
        <v>22</v>
      </c>
      <c r="BE9" s="865" t="s">
        <v>22</v>
      </c>
      <c r="BF9" s="822" t="s">
        <v>22</v>
      </c>
      <c r="BG9" s="865" t="s">
        <v>22</v>
      </c>
      <c r="BH9" s="822" t="s">
        <v>22</v>
      </c>
      <c r="BI9" s="865" t="s">
        <v>22</v>
      </c>
      <c r="BJ9" s="822" t="s">
        <v>22</v>
      </c>
      <c r="BK9" s="865" t="s">
        <v>22</v>
      </c>
      <c r="BL9" s="822" t="s">
        <v>22</v>
      </c>
      <c r="BM9" s="865" t="s">
        <v>22</v>
      </c>
      <c r="BN9" s="822" t="s">
        <v>22</v>
      </c>
      <c r="BO9" s="865" t="s">
        <v>22</v>
      </c>
      <c r="BP9" s="822" t="s">
        <v>22</v>
      </c>
      <c r="BQ9" s="865" t="s">
        <v>22</v>
      </c>
      <c r="BR9" s="822" t="s">
        <v>22</v>
      </c>
      <c r="BS9" s="865" t="s">
        <v>22</v>
      </c>
      <c r="BT9" s="822" t="s">
        <v>22</v>
      </c>
      <c r="BU9" s="865" t="s">
        <v>22</v>
      </c>
      <c r="BV9" s="822" t="s">
        <v>22</v>
      </c>
      <c r="BW9" s="865" t="s">
        <v>22</v>
      </c>
      <c r="BX9" s="822" t="s">
        <v>22</v>
      </c>
      <c r="BY9" s="865" t="s">
        <v>22</v>
      </c>
      <c r="BZ9" s="822" t="s">
        <v>22</v>
      </c>
      <c r="CA9" s="865" t="s">
        <v>22</v>
      </c>
      <c r="CB9" s="822" t="s">
        <v>22</v>
      </c>
      <c r="CC9" s="865" t="s">
        <v>22</v>
      </c>
      <c r="CD9" s="822" t="s">
        <v>22</v>
      </c>
      <c r="CE9" s="865" t="s">
        <v>22</v>
      </c>
      <c r="CF9" s="822" t="s">
        <v>22</v>
      </c>
      <c r="CG9" s="865" t="s">
        <v>22</v>
      </c>
      <c r="CH9" s="822" t="s">
        <v>22</v>
      </c>
      <c r="CI9" s="293"/>
      <c r="CT9" s="509">
        <v>0</v>
      </c>
    </row>
    <row customHeight="1" ht="15" hidden="1">
      <c r="A10" s="509"/>
      <c r="B10" s="2414"/>
      <c r="C10" s="2415"/>
      <c r="D10" s="693" t="str">
        <f>B9&amp;".2"</f>
        <v>.2</v>
      </c>
      <c r="E10" s="694" t="s">
        <v>1143</v>
      </c>
      <c r="F10" s="695" t="s">
        <v>444</v>
      </c>
      <c r="G10" s="1735" t="s">
        <v>22</v>
      </c>
      <c r="H10" s="405" t="s">
        <v>22</v>
      </c>
      <c r="I10" s="1735" t="s">
        <v>22</v>
      </c>
      <c r="J10" s="405" t="s">
        <v>22</v>
      </c>
      <c r="K10" s="1735" t="s">
        <v>22</v>
      </c>
      <c r="L10" s="822" t="s">
        <v>22</v>
      </c>
      <c r="M10" s="1735" t="s">
        <v>22</v>
      </c>
      <c r="N10" s="822" t="s">
        <v>22</v>
      </c>
      <c r="O10" s="1735" t="s">
        <v>22</v>
      </c>
      <c r="P10" s="822" t="s">
        <v>22</v>
      </c>
      <c r="Q10" s="1735" t="s">
        <v>22</v>
      </c>
      <c r="R10" s="822" t="s">
        <v>22</v>
      </c>
      <c r="S10" s="1735" t="s">
        <v>22</v>
      </c>
      <c r="T10" s="822" t="s">
        <v>22</v>
      </c>
      <c r="U10" s="1735" t="s">
        <v>22</v>
      </c>
      <c r="V10" s="822" t="s">
        <v>22</v>
      </c>
      <c r="W10" s="1735" t="s">
        <v>22</v>
      </c>
      <c r="X10" s="822" t="s">
        <v>22</v>
      </c>
      <c r="Y10" s="1735" t="s">
        <v>22</v>
      </c>
      <c r="Z10" s="822" t="s">
        <v>22</v>
      </c>
      <c r="AA10" s="1735" t="s">
        <v>22</v>
      </c>
      <c r="AB10" s="822" t="s">
        <v>22</v>
      </c>
      <c r="AC10" s="1735" t="s">
        <v>22</v>
      </c>
      <c r="AD10" s="822" t="s">
        <v>22</v>
      </c>
      <c r="AE10" s="1735" t="s">
        <v>22</v>
      </c>
      <c r="AF10" s="822" t="s">
        <v>22</v>
      </c>
      <c r="AG10" s="1735" t="s">
        <v>22</v>
      </c>
      <c r="AH10" s="822" t="s">
        <v>22</v>
      </c>
      <c r="AI10" s="1735" t="s">
        <v>22</v>
      </c>
      <c r="AJ10" s="822" t="s">
        <v>22</v>
      </c>
      <c r="AK10" s="1735" t="s">
        <v>22</v>
      </c>
      <c r="AL10" s="822" t="s">
        <v>22</v>
      </c>
      <c r="AM10" s="1735" t="s">
        <v>22</v>
      </c>
      <c r="AN10" s="822" t="s">
        <v>22</v>
      </c>
      <c r="AO10" s="1735" t="s">
        <v>22</v>
      </c>
      <c r="AP10" s="822" t="s">
        <v>22</v>
      </c>
      <c r="AQ10" s="1735" t="s">
        <v>22</v>
      </c>
      <c r="AR10" s="822" t="s">
        <v>22</v>
      </c>
      <c r="AS10" s="1735" t="s">
        <v>22</v>
      </c>
      <c r="AT10" s="822" t="s">
        <v>22</v>
      </c>
      <c r="AU10" s="1735" t="s">
        <v>22</v>
      </c>
      <c r="AV10" s="822" t="s">
        <v>22</v>
      </c>
      <c r="AW10" s="1735" t="s">
        <v>22</v>
      </c>
      <c r="AX10" s="822" t="s">
        <v>22</v>
      </c>
      <c r="AY10" s="1735" t="s">
        <v>22</v>
      </c>
      <c r="AZ10" s="822" t="s">
        <v>22</v>
      </c>
      <c r="BA10" s="1735" t="s">
        <v>22</v>
      </c>
      <c r="BB10" s="822" t="s">
        <v>22</v>
      </c>
      <c r="BC10" s="1735" t="s">
        <v>22</v>
      </c>
      <c r="BD10" s="822" t="s">
        <v>22</v>
      </c>
      <c r="BE10" s="1735" t="s">
        <v>22</v>
      </c>
      <c r="BF10" s="822" t="s">
        <v>22</v>
      </c>
      <c r="BG10" s="1735" t="s">
        <v>22</v>
      </c>
      <c r="BH10" s="822" t="s">
        <v>22</v>
      </c>
      <c r="BI10" s="1735" t="s">
        <v>22</v>
      </c>
      <c r="BJ10" s="822" t="s">
        <v>22</v>
      </c>
      <c r="BK10" s="1735" t="s">
        <v>22</v>
      </c>
      <c r="BL10" s="822" t="s">
        <v>22</v>
      </c>
      <c r="BM10" s="1735" t="s">
        <v>22</v>
      </c>
      <c r="BN10" s="822" t="s">
        <v>22</v>
      </c>
      <c r="BO10" s="1735" t="s">
        <v>22</v>
      </c>
      <c r="BP10" s="822" t="s">
        <v>22</v>
      </c>
      <c r="BQ10" s="1735" t="s">
        <v>22</v>
      </c>
      <c r="BR10" s="822" t="s">
        <v>22</v>
      </c>
      <c r="BS10" s="1735" t="s">
        <v>22</v>
      </c>
      <c r="BT10" s="822" t="s">
        <v>22</v>
      </c>
      <c r="BU10" s="1735" t="s">
        <v>22</v>
      </c>
      <c r="BV10" s="822" t="s">
        <v>22</v>
      </c>
      <c r="BW10" s="1735" t="s">
        <v>22</v>
      </c>
      <c r="BX10" s="822" t="s">
        <v>22</v>
      </c>
      <c r="BY10" s="1735" t="s">
        <v>22</v>
      </c>
      <c r="BZ10" s="822" t="s">
        <v>22</v>
      </c>
      <c r="CA10" s="1735" t="s">
        <v>22</v>
      </c>
      <c r="CB10" s="822" t="s">
        <v>22</v>
      </c>
      <c r="CC10" s="1735" t="s">
        <v>22</v>
      </c>
      <c r="CD10" s="822" t="s">
        <v>22</v>
      </c>
      <c r="CE10" s="1735" t="s">
        <v>22</v>
      </c>
      <c r="CF10" s="822" t="s">
        <v>22</v>
      </c>
      <c r="CG10" s="1735" t="s">
        <v>22</v>
      </c>
      <c r="CH10" s="822" t="s">
        <v>22</v>
      </c>
      <c r="CI10" s="293" t="s">
        <v>1144</v>
      </c>
      <c r="CT10" s="509">
        <v>0</v>
      </c>
    </row>
    <row customHeight="1" ht="15" hidden="1">
      <c r="A11" s="509"/>
      <c r="B11" s="2414"/>
      <c r="C11" s="2415"/>
      <c r="D11" s="693" t="str">
        <f>B9&amp;".3"</f>
        <v>.3</v>
      </c>
      <c r="E11" s="694" t="s">
        <v>1145</v>
      </c>
      <c r="F11" s="695" t="s">
        <v>444</v>
      </c>
      <c r="G11" s="1735" t="s">
        <v>22</v>
      </c>
      <c r="H11" s="405" t="s">
        <v>22</v>
      </c>
      <c r="I11" s="1735" t="s">
        <v>22</v>
      </c>
      <c r="J11" s="405" t="s">
        <v>22</v>
      </c>
      <c r="K11" s="1735" t="s">
        <v>22</v>
      </c>
      <c r="L11" s="822" t="s">
        <v>22</v>
      </c>
      <c r="M11" s="1735" t="s">
        <v>22</v>
      </c>
      <c r="N11" s="822" t="s">
        <v>22</v>
      </c>
      <c r="O11" s="1735" t="s">
        <v>22</v>
      </c>
      <c r="P11" s="822" t="s">
        <v>22</v>
      </c>
      <c r="Q11" s="1735" t="s">
        <v>22</v>
      </c>
      <c r="R11" s="822" t="s">
        <v>22</v>
      </c>
      <c r="S11" s="1735" t="s">
        <v>22</v>
      </c>
      <c r="T11" s="822" t="s">
        <v>22</v>
      </c>
      <c r="U11" s="1735" t="s">
        <v>22</v>
      </c>
      <c r="V11" s="822" t="s">
        <v>22</v>
      </c>
      <c r="W11" s="1735" t="s">
        <v>22</v>
      </c>
      <c r="X11" s="822" t="s">
        <v>22</v>
      </c>
      <c r="Y11" s="1735" t="s">
        <v>22</v>
      </c>
      <c r="Z11" s="822" t="s">
        <v>22</v>
      </c>
      <c r="AA11" s="1735" t="s">
        <v>22</v>
      </c>
      <c r="AB11" s="822" t="s">
        <v>22</v>
      </c>
      <c r="AC11" s="1735" t="s">
        <v>22</v>
      </c>
      <c r="AD11" s="822" t="s">
        <v>22</v>
      </c>
      <c r="AE11" s="1735" t="s">
        <v>22</v>
      </c>
      <c r="AF11" s="822" t="s">
        <v>22</v>
      </c>
      <c r="AG11" s="1735" t="s">
        <v>22</v>
      </c>
      <c r="AH11" s="822" t="s">
        <v>22</v>
      </c>
      <c r="AI11" s="1735" t="s">
        <v>22</v>
      </c>
      <c r="AJ11" s="822" t="s">
        <v>22</v>
      </c>
      <c r="AK11" s="1735" t="s">
        <v>22</v>
      </c>
      <c r="AL11" s="822" t="s">
        <v>22</v>
      </c>
      <c r="AM11" s="1735" t="s">
        <v>22</v>
      </c>
      <c r="AN11" s="822" t="s">
        <v>22</v>
      </c>
      <c r="AO11" s="1735" t="s">
        <v>22</v>
      </c>
      <c r="AP11" s="822" t="s">
        <v>22</v>
      </c>
      <c r="AQ11" s="1735" t="s">
        <v>22</v>
      </c>
      <c r="AR11" s="822" t="s">
        <v>22</v>
      </c>
      <c r="AS11" s="1735" t="s">
        <v>22</v>
      </c>
      <c r="AT11" s="822" t="s">
        <v>22</v>
      </c>
      <c r="AU11" s="1735" t="s">
        <v>22</v>
      </c>
      <c r="AV11" s="822" t="s">
        <v>22</v>
      </c>
      <c r="AW11" s="1735" t="s">
        <v>22</v>
      </c>
      <c r="AX11" s="822" t="s">
        <v>22</v>
      </c>
      <c r="AY11" s="1735" t="s">
        <v>22</v>
      </c>
      <c r="AZ11" s="822" t="s">
        <v>22</v>
      </c>
      <c r="BA11" s="1735" t="s">
        <v>22</v>
      </c>
      <c r="BB11" s="822" t="s">
        <v>22</v>
      </c>
      <c r="BC11" s="1735" t="s">
        <v>22</v>
      </c>
      <c r="BD11" s="822" t="s">
        <v>22</v>
      </c>
      <c r="BE11" s="1735" t="s">
        <v>22</v>
      </c>
      <c r="BF11" s="822" t="s">
        <v>22</v>
      </c>
      <c r="BG11" s="1735" t="s">
        <v>22</v>
      </c>
      <c r="BH11" s="822" t="s">
        <v>22</v>
      </c>
      <c r="BI11" s="1735" t="s">
        <v>22</v>
      </c>
      <c r="BJ11" s="822" t="s">
        <v>22</v>
      </c>
      <c r="BK11" s="1735" t="s">
        <v>22</v>
      </c>
      <c r="BL11" s="822" t="s">
        <v>22</v>
      </c>
      <c r="BM11" s="1735" t="s">
        <v>22</v>
      </c>
      <c r="BN11" s="822" t="s">
        <v>22</v>
      </c>
      <c r="BO11" s="1735" t="s">
        <v>22</v>
      </c>
      <c r="BP11" s="822" t="s">
        <v>22</v>
      </c>
      <c r="BQ11" s="1735" t="s">
        <v>22</v>
      </c>
      <c r="BR11" s="822" t="s">
        <v>22</v>
      </c>
      <c r="BS11" s="1735" t="s">
        <v>22</v>
      </c>
      <c r="BT11" s="822" t="s">
        <v>22</v>
      </c>
      <c r="BU11" s="1735" t="s">
        <v>22</v>
      </c>
      <c r="BV11" s="822" t="s">
        <v>22</v>
      </c>
      <c r="BW11" s="1735" t="s">
        <v>22</v>
      </c>
      <c r="BX11" s="822" t="s">
        <v>22</v>
      </c>
      <c r="BY11" s="1735" t="s">
        <v>22</v>
      </c>
      <c r="BZ11" s="822" t="s">
        <v>22</v>
      </c>
      <c r="CA11" s="1735" t="s">
        <v>22</v>
      </c>
      <c r="CB11" s="822" t="s">
        <v>22</v>
      </c>
      <c r="CC11" s="1735" t="s">
        <v>22</v>
      </c>
      <c r="CD11" s="822" t="s">
        <v>22</v>
      </c>
      <c r="CE11" s="1735" t="s">
        <v>22</v>
      </c>
      <c r="CF11" s="822" t="s">
        <v>22</v>
      </c>
      <c r="CG11" s="1735" t="s">
        <v>22</v>
      </c>
      <c r="CH11" s="822" t="s">
        <v>22</v>
      </c>
      <c r="CI11" s="293" t="s">
        <v>1146</v>
      </c>
      <c r="CT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BQ12" s="1370"/>
      <c r="BR12" s="1370"/>
      <c r="BS12" s="1370"/>
      <c r="BT12" s="1370"/>
      <c r="BU12" s="1370"/>
      <c r="BV12" s="1370"/>
      <c r="BW12" s="1370"/>
      <c r="BX12" s="1370"/>
      <c r="BY12" s="1370"/>
      <c r="BZ12" s="1370"/>
      <c r="CA12" s="1370"/>
      <c r="CB12" s="1370"/>
      <c r="CC12" s="1370"/>
      <c r="CD12" s="1370"/>
      <c r="CE12" s="1370"/>
      <c r="CF12" s="1370"/>
      <c r="CG12" s="1370"/>
      <c r="CH12" s="1370"/>
      <c r="CS12" s="424"/>
      <c r="CT12" s="421">
        <v>0</v>
      </c>
    </row>
    <row customHeight="1" ht="33.75" hidden="1">
      <c r="A13" s="509"/>
      <c r="B13" s="2414"/>
      <c r="C13" s="2415" t="s">
        <v>103</v>
      </c>
      <c r="D13" s="693" t="str">
        <f>B13&amp;".1"</f>
        <v>.1</v>
      </c>
      <c r="E13" s="694" t="s">
        <v>1147</v>
      </c>
      <c r="F13" s="695" t="s">
        <v>444</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865" t="s">
        <v>22</v>
      </c>
      <c r="AN13" s="822" t="s">
        <v>22</v>
      </c>
      <c r="AO13" s="865" t="s">
        <v>22</v>
      </c>
      <c r="AP13" s="822" t="s">
        <v>22</v>
      </c>
      <c r="AQ13" s="865" t="s">
        <v>22</v>
      </c>
      <c r="AR13" s="822" t="s">
        <v>22</v>
      </c>
      <c r="AS13" s="865" t="s">
        <v>22</v>
      </c>
      <c r="AT13" s="822" t="s">
        <v>22</v>
      </c>
      <c r="AU13" s="865" t="s">
        <v>22</v>
      </c>
      <c r="AV13" s="822" t="s">
        <v>22</v>
      </c>
      <c r="AW13" s="865" t="s">
        <v>22</v>
      </c>
      <c r="AX13" s="822" t="s">
        <v>22</v>
      </c>
      <c r="AY13" s="865" t="s">
        <v>22</v>
      </c>
      <c r="AZ13" s="822" t="s">
        <v>22</v>
      </c>
      <c r="BA13" s="865" t="s">
        <v>22</v>
      </c>
      <c r="BB13" s="822" t="s">
        <v>22</v>
      </c>
      <c r="BC13" s="865" t="s">
        <v>22</v>
      </c>
      <c r="BD13" s="822" t="s">
        <v>22</v>
      </c>
      <c r="BE13" s="865" t="s">
        <v>22</v>
      </c>
      <c r="BF13" s="822" t="s">
        <v>22</v>
      </c>
      <c r="BG13" s="865" t="s">
        <v>22</v>
      </c>
      <c r="BH13" s="822" t="s">
        <v>22</v>
      </c>
      <c r="BI13" s="865" t="s">
        <v>22</v>
      </c>
      <c r="BJ13" s="822" t="s">
        <v>22</v>
      </c>
      <c r="BK13" s="865" t="s">
        <v>22</v>
      </c>
      <c r="BL13" s="822" t="s">
        <v>22</v>
      </c>
      <c r="BM13" s="865" t="s">
        <v>22</v>
      </c>
      <c r="BN13" s="822" t="s">
        <v>22</v>
      </c>
      <c r="BO13" s="865" t="s">
        <v>22</v>
      </c>
      <c r="BP13" s="822" t="s">
        <v>22</v>
      </c>
      <c r="BQ13" s="865" t="s">
        <v>22</v>
      </c>
      <c r="BR13" s="822" t="s">
        <v>22</v>
      </c>
      <c r="BS13" s="865" t="s">
        <v>22</v>
      </c>
      <c r="BT13" s="822" t="s">
        <v>22</v>
      </c>
      <c r="BU13" s="865" t="s">
        <v>22</v>
      </c>
      <c r="BV13" s="822" t="s">
        <v>22</v>
      </c>
      <c r="BW13" s="865" t="s">
        <v>22</v>
      </c>
      <c r="BX13" s="822" t="s">
        <v>22</v>
      </c>
      <c r="BY13" s="865" t="s">
        <v>22</v>
      </c>
      <c r="BZ13" s="822" t="s">
        <v>22</v>
      </c>
      <c r="CA13" s="865" t="s">
        <v>22</v>
      </c>
      <c r="CB13" s="822" t="s">
        <v>22</v>
      </c>
      <c r="CC13" s="865" t="s">
        <v>22</v>
      </c>
      <c r="CD13" s="822" t="s">
        <v>22</v>
      </c>
      <c r="CE13" s="865" t="s">
        <v>22</v>
      </c>
      <c r="CF13" s="822" t="s">
        <v>22</v>
      </c>
      <c r="CG13" s="865" t="s">
        <v>22</v>
      </c>
      <c r="CH13" s="822" t="s">
        <v>22</v>
      </c>
      <c r="CI13" s="293" t="s">
        <v>1148</v>
      </c>
      <c r="CT13" s="509">
        <v>0</v>
      </c>
    </row>
    <row customHeight="1" ht="15" hidden="1">
      <c r="B14" s="2414"/>
      <c r="C14" s="2415"/>
      <c r="D14" s="693" t="str">
        <f>B13&amp;".2"</f>
        <v>.2</v>
      </c>
      <c r="E14" s="694" t="s">
        <v>1149</v>
      </c>
      <c r="F14" s="695" t="s">
        <v>444</v>
      </c>
      <c r="G14" s="1735" t="s">
        <v>22</v>
      </c>
      <c r="H14" s="405" t="s">
        <v>22</v>
      </c>
      <c r="I14" s="1735" t="s">
        <v>22</v>
      </c>
      <c r="J14" s="405" t="s">
        <v>22</v>
      </c>
      <c r="K14" s="1735" t="s">
        <v>22</v>
      </c>
      <c r="L14" s="822" t="s">
        <v>22</v>
      </c>
      <c r="M14" s="1735" t="s">
        <v>22</v>
      </c>
      <c r="N14" s="822" t="s">
        <v>22</v>
      </c>
      <c r="O14" s="1735" t="s">
        <v>22</v>
      </c>
      <c r="P14" s="822" t="s">
        <v>22</v>
      </c>
      <c r="Q14" s="1735" t="s">
        <v>22</v>
      </c>
      <c r="R14" s="822" t="s">
        <v>22</v>
      </c>
      <c r="S14" s="1735" t="s">
        <v>22</v>
      </c>
      <c r="T14" s="822" t="s">
        <v>22</v>
      </c>
      <c r="U14" s="1735" t="s">
        <v>22</v>
      </c>
      <c r="V14" s="822" t="s">
        <v>22</v>
      </c>
      <c r="W14" s="1735" t="s">
        <v>22</v>
      </c>
      <c r="X14" s="822" t="s">
        <v>22</v>
      </c>
      <c r="Y14" s="1735" t="s">
        <v>22</v>
      </c>
      <c r="Z14" s="822" t="s">
        <v>22</v>
      </c>
      <c r="AA14" s="1735" t="s">
        <v>22</v>
      </c>
      <c r="AB14" s="822" t="s">
        <v>22</v>
      </c>
      <c r="AC14" s="1735" t="s">
        <v>22</v>
      </c>
      <c r="AD14" s="822" t="s">
        <v>22</v>
      </c>
      <c r="AE14" s="1735" t="s">
        <v>22</v>
      </c>
      <c r="AF14" s="822" t="s">
        <v>22</v>
      </c>
      <c r="AG14" s="1735" t="s">
        <v>22</v>
      </c>
      <c r="AH14" s="822" t="s">
        <v>22</v>
      </c>
      <c r="AI14" s="1735" t="s">
        <v>22</v>
      </c>
      <c r="AJ14" s="822" t="s">
        <v>22</v>
      </c>
      <c r="AK14" s="1735" t="s">
        <v>22</v>
      </c>
      <c r="AL14" s="822" t="s">
        <v>22</v>
      </c>
      <c r="AM14" s="1735" t="s">
        <v>22</v>
      </c>
      <c r="AN14" s="822" t="s">
        <v>22</v>
      </c>
      <c r="AO14" s="1735" t="s">
        <v>22</v>
      </c>
      <c r="AP14" s="822" t="s">
        <v>22</v>
      </c>
      <c r="AQ14" s="1735" t="s">
        <v>22</v>
      </c>
      <c r="AR14" s="822" t="s">
        <v>22</v>
      </c>
      <c r="AS14" s="1735" t="s">
        <v>22</v>
      </c>
      <c r="AT14" s="822" t="s">
        <v>22</v>
      </c>
      <c r="AU14" s="1735" t="s">
        <v>22</v>
      </c>
      <c r="AV14" s="822" t="s">
        <v>22</v>
      </c>
      <c r="AW14" s="1735" t="s">
        <v>22</v>
      </c>
      <c r="AX14" s="822" t="s">
        <v>22</v>
      </c>
      <c r="AY14" s="1735" t="s">
        <v>22</v>
      </c>
      <c r="AZ14" s="822" t="s">
        <v>22</v>
      </c>
      <c r="BA14" s="1735" t="s">
        <v>22</v>
      </c>
      <c r="BB14" s="822" t="s">
        <v>22</v>
      </c>
      <c r="BC14" s="1735" t="s">
        <v>22</v>
      </c>
      <c r="BD14" s="822" t="s">
        <v>22</v>
      </c>
      <c r="BE14" s="1735" t="s">
        <v>22</v>
      </c>
      <c r="BF14" s="822" t="s">
        <v>22</v>
      </c>
      <c r="BG14" s="1735" t="s">
        <v>22</v>
      </c>
      <c r="BH14" s="822" t="s">
        <v>22</v>
      </c>
      <c r="BI14" s="1735" t="s">
        <v>22</v>
      </c>
      <c r="BJ14" s="822" t="s">
        <v>22</v>
      </c>
      <c r="BK14" s="1735" t="s">
        <v>22</v>
      </c>
      <c r="BL14" s="822" t="s">
        <v>22</v>
      </c>
      <c r="BM14" s="1735" t="s">
        <v>22</v>
      </c>
      <c r="BN14" s="822" t="s">
        <v>22</v>
      </c>
      <c r="BO14" s="1735" t="s">
        <v>22</v>
      </c>
      <c r="BP14" s="822" t="s">
        <v>22</v>
      </c>
      <c r="BQ14" s="1735" t="s">
        <v>22</v>
      </c>
      <c r="BR14" s="822" t="s">
        <v>22</v>
      </c>
      <c r="BS14" s="1735" t="s">
        <v>22</v>
      </c>
      <c r="BT14" s="822" t="s">
        <v>22</v>
      </c>
      <c r="BU14" s="1735" t="s">
        <v>22</v>
      </c>
      <c r="BV14" s="822" t="s">
        <v>22</v>
      </c>
      <c r="BW14" s="1735" t="s">
        <v>22</v>
      </c>
      <c r="BX14" s="822" t="s">
        <v>22</v>
      </c>
      <c r="BY14" s="1735" t="s">
        <v>22</v>
      </c>
      <c r="BZ14" s="822" t="s">
        <v>22</v>
      </c>
      <c r="CA14" s="1735" t="s">
        <v>22</v>
      </c>
      <c r="CB14" s="822" t="s">
        <v>22</v>
      </c>
      <c r="CC14" s="1735" t="s">
        <v>22</v>
      </c>
      <c r="CD14" s="822" t="s">
        <v>22</v>
      </c>
      <c r="CE14" s="1735" t="s">
        <v>22</v>
      </c>
      <c r="CF14" s="822" t="s">
        <v>22</v>
      </c>
      <c r="CG14" s="1735" t="s">
        <v>22</v>
      </c>
      <c r="CH14" s="822" t="s">
        <v>22</v>
      </c>
      <c r="CI14" s="293" t="s">
        <v>1150</v>
      </c>
      <c r="CT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BQ15" s="1370"/>
      <c r="BR15" s="1370"/>
      <c r="BS15" s="1370"/>
      <c r="BT15" s="1370"/>
      <c r="BU15" s="1370"/>
      <c r="BV15" s="1370"/>
      <c r="BW15" s="1370"/>
      <c r="BX15" s="1370"/>
      <c r="BY15" s="1370"/>
      <c r="BZ15" s="1370"/>
      <c r="CA15" s="1370"/>
      <c r="CB15" s="1370"/>
      <c r="CC15" s="1370"/>
      <c r="CD15" s="1370"/>
      <c r="CE15" s="1370"/>
      <c r="CF15" s="1370"/>
      <c r="CG15" s="1370"/>
      <c r="CH15" s="1370"/>
      <c r="CS15" s="424"/>
      <c r="CT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BQ16" s="1370"/>
      <c r="BR16" s="1370"/>
      <c r="BS16" s="1370"/>
      <c r="BT16" s="1370"/>
      <c r="BU16" s="1370"/>
      <c r="BV16" s="1370"/>
      <c r="BW16" s="1370"/>
      <c r="BX16" s="1370"/>
      <c r="BY16" s="1370"/>
      <c r="BZ16" s="1370"/>
      <c r="CA16" s="1370"/>
      <c r="CB16" s="1370"/>
      <c r="CC16" s="1370"/>
      <c r="CD16" s="1370"/>
      <c r="CE16" s="1370"/>
      <c r="CF16" s="1370"/>
      <c r="CG16" s="1370"/>
      <c r="CH16" s="1370"/>
      <c r="CS16" s="424"/>
      <c r="CT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0"/>
      <c r="BY17" s="1370"/>
      <c r="BZ17" s="1370"/>
      <c r="CA17" s="1370"/>
      <c r="CB17" s="1370"/>
      <c r="CC17" s="1370"/>
      <c r="CD17" s="1370"/>
      <c r="CE17" s="1370"/>
      <c r="CF17" s="1370"/>
      <c r="CG17" s="1370"/>
      <c r="CH17" s="1370"/>
      <c r="CS17" s="424"/>
      <c r="CT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0"/>
      <c r="BY18" s="1370"/>
      <c r="BZ18" s="1370"/>
      <c r="CA18" s="1370"/>
      <c r="CB18" s="1370"/>
      <c r="CC18" s="1370"/>
      <c r="CD18" s="1370"/>
      <c r="CE18" s="1370"/>
      <c r="CF18" s="1370"/>
      <c r="CG18" s="1370"/>
      <c r="CH18" s="1370"/>
      <c r="CS18" s="424"/>
      <c r="CT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BS19" s="1370"/>
      <c r="BT19" s="1370"/>
      <c r="BU19" s="1370"/>
      <c r="BV19" s="1370"/>
      <c r="BW19" s="1370"/>
      <c r="BX19" s="1370"/>
      <c r="BY19" s="1370"/>
      <c r="BZ19" s="1370"/>
      <c r="CA19" s="1370"/>
      <c r="CB19" s="1370"/>
      <c r="CC19" s="1370"/>
      <c r="CD19" s="1370"/>
      <c r="CE19" s="1370"/>
      <c r="CF19" s="1370"/>
      <c r="CG19" s="1370"/>
      <c r="CH19" s="1370"/>
      <c r="CS19" s="424"/>
      <c r="CT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P20" s="1370"/>
      <c r="AQ20" s="1370"/>
      <c r="AR20" s="1370"/>
      <c r="AS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BQ20" s="1370"/>
      <c r="BR20" s="1370"/>
      <c r="BS20" s="1370"/>
      <c r="BT20" s="1370"/>
      <c r="BU20" s="1370"/>
      <c r="BV20" s="1370"/>
      <c r="BW20" s="1370"/>
      <c r="BX20" s="1370"/>
      <c r="BY20" s="1370"/>
      <c r="BZ20" s="1370"/>
      <c r="CA20" s="1370"/>
      <c r="CB20" s="1370"/>
      <c r="CC20" s="1370"/>
      <c r="CD20" s="1370"/>
      <c r="CE20" s="1370"/>
      <c r="CF20" s="1370"/>
      <c r="CG20" s="1370"/>
      <c r="CH20" s="1370"/>
      <c r="CS20" s="424"/>
      <c r="CT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BS21" s="1639"/>
      <c r="BT21" s="1639"/>
      <c r="BU21" s="1639"/>
      <c r="BV21" s="1639"/>
      <c r="BW21" s="1639"/>
      <c r="BX21" s="1639"/>
      <c r="BY21" s="1639"/>
      <c r="BZ21" s="1639"/>
      <c r="CA21" s="1639"/>
      <c r="CB21" s="1639"/>
      <c r="CC21" s="1639"/>
      <c r="CD21" s="1639"/>
      <c r="CE21" s="1639"/>
      <c r="CF21" s="1639"/>
      <c r="CG21" s="1639"/>
      <c r="CH21" s="1639"/>
      <c r="CT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5"/>
      <c r="AJ22" s="2265"/>
      <c r="AK22" s="2265"/>
      <c r="AL22" s="2265"/>
      <c r="AM22" s="2265"/>
      <c r="AN22" s="2265"/>
      <c r="AO22" s="2265"/>
      <c r="AP22" s="2265"/>
      <c r="AQ22" s="2265"/>
      <c r="AR22" s="2265"/>
      <c r="AS22" s="2265"/>
      <c r="AT22" s="2265"/>
      <c r="AU22" s="2265"/>
      <c r="AV22" s="2265"/>
      <c r="AW22" s="2265"/>
      <c r="AX22" s="2265"/>
      <c r="AY22" s="2265"/>
      <c r="AZ22" s="2265"/>
      <c r="BA22" s="2265"/>
      <c r="BB22" s="2265"/>
      <c r="BC22" s="2265"/>
      <c r="BD22" s="2265"/>
      <c r="BE22" s="2265"/>
      <c r="BF22" s="2265"/>
      <c r="BG22" s="2265"/>
      <c r="BH22" s="2265"/>
      <c r="BI22" s="2265"/>
      <c r="BJ22" s="2265"/>
      <c r="BK22" s="2265"/>
      <c r="BL22" s="2265"/>
      <c r="BM22" s="2265"/>
      <c r="BN22" s="2265"/>
      <c r="BO22" s="2265"/>
      <c r="BP22" s="2265"/>
      <c r="BQ22" s="2265"/>
      <c r="BR22" s="2265"/>
      <c r="BS22" s="2265"/>
      <c r="BT22" s="2265"/>
      <c r="BU22" s="2265"/>
      <c r="BV22" s="2265"/>
      <c r="BW22" s="2265"/>
      <c r="BX22" s="2265"/>
      <c r="BY22" s="2265"/>
      <c r="BZ22" s="2265"/>
      <c r="CA22" s="2265"/>
      <c r="CB22" s="2265"/>
      <c r="CC22" s="2265"/>
      <c r="CD22" s="2265"/>
      <c r="CE22" s="2265"/>
      <c r="CF22" s="2265"/>
      <c r="CG22" s="2265"/>
      <c r="CH22" s="2265"/>
      <c r="CI22" s="541"/>
      <c r="CT22" s="509">
        <v>22</v>
      </c>
    </row>
    <row customHeight="1" ht="15.75">
      <c r="C23" s="180"/>
      <c r="D23" s="2193" t="str">
        <f>IF(org=0,"Не определено",org)</f>
        <v>КГУП "Примтеплоэнерго"</v>
      </c>
      <c r="E23" s="2193"/>
      <c r="F23" s="2193"/>
      <c r="G23" s="2193"/>
      <c r="H23" s="2193"/>
      <c r="I23" s="2193"/>
      <c r="J23" s="680"/>
      <c r="K23" s="2266"/>
      <c r="L23" s="2266"/>
      <c r="M23" s="2266"/>
      <c r="N23" s="2266"/>
      <c r="O23" s="2266"/>
      <c r="P23" s="2266"/>
      <c r="Q23" s="2266"/>
      <c r="R23" s="2266"/>
      <c r="S23" s="2266"/>
      <c r="T23" s="2266"/>
      <c r="U23" s="2266"/>
      <c r="V23" s="2266"/>
      <c r="W23" s="2266"/>
      <c r="X23" s="2266"/>
      <c r="Y23" s="2266"/>
      <c r="Z23" s="2266"/>
      <c r="AA23" s="2266"/>
      <c r="AB23" s="2266"/>
      <c r="AC23" s="2266"/>
      <c r="AD23" s="2266"/>
      <c r="AE23" s="2266"/>
      <c r="AF23" s="2266"/>
      <c r="AG23" s="2266"/>
      <c r="AH23" s="2266"/>
      <c r="AI23" s="2266"/>
      <c r="AJ23" s="2266"/>
      <c r="AK23" s="2266"/>
      <c r="AL23" s="2266"/>
      <c r="AM23" s="2266"/>
      <c r="AN23" s="2266"/>
      <c r="AO23" s="2266"/>
      <c r="AP23" s="2266"/>
      <c r="AQ23" s="2266"/>
      <c r="AR23" s="2266"/>
      <c r="AS23" s="2266"/>
      <c r="AT23" s="2266"/>
      <c r="AU23" s="2266"/>
      <c r="AV23" s="2266"/>
      <c r="AW23" s="2266"/>
      <c r="AX23" s="2266"/>
      <c r="AY23" s="2266"/>
      <c r="AZ23" s="2266"/>
      <c r="BA23" s="2266"/>
      <c r="BB23" s="2266"/>
      <c r="BC23" s="2266"/>
      <c r="BD23" s="2266"/>
      <c r="BE23" s="2266"/>
      <c r="BF23" s="2266"/>
      <c r="BG23" s="2266"/>
      <c r="BH23" s="2266"/>
      <c r="BI23" s="2266"/>
      <c r="BJ23" s="2266"/>
      <c r="BK23" s="2266"/>
      <c r="BL23" s="2266"/>
      <c r="BM23" s="2266"/>
      <c r="BN23" s="2266"/>
      <c r="BO23" s="2266"/>
      <c r="BP23" s="2266"/>
      <c r="BQ23" s="2266"/>
      <c r="BR23" s="2266"/>
      <c r="BS23" s="2266"/>
      <c r="BT23" s="2266"/>
      <c r="BU23" s="2266"/>
      <c r="BV23" s="2266"/>
      <c r="BW23" s="2266"/>
      <c r="BX23" s="2266"/>
      <c r="BY23" s="2266"/>
      <c r="BZ23" s="2266"/>
      <c r="CA23" s="2266"/>
      <c r="CB23" s="2266"/>
      <c r="CC23" s="2266"/>
      <c r="CD23" s="2266"/>
      <c r="CE23" s="2266"/>
      <c r="CF23" s="2266"/>
      <c r="CG23" s="2266"/>
      <c r="CH23" s="2266"/>
      <c r="CI23" s="541"/>
      <c r="CT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M24" s="1370" t="s">
        <v>22</v>
      </c>
      <c r="AN24" s="756"/>
      <c r="AO24" s="1370" t="s">
        <v>22</v>
      </c>
      <c r="AP24" s="756"/>
      <c r="AQ24" s="1370" t="s">
        <v>22</v>
      </c>
      <c r="AR24" s="756"/>
      <c r="AS24" s="1370" t="s">
        <v>22</v>
      </c>
      <c r="AT24" s="756"/>
      <c r="AU24" s="1370" t="s">
        <v>22</v>
      </c>
      <c r="AV24" s="756"/>
      <c r="AW24" s="1370" t="s">
        <v>22</v>
      </c>
      <c r="AX24" s="756"/>
      <c r="AY24" s="1370" t="s">
        <v>22</v>
      </c>
      <c r="AZ24" s="756"/>
      <c r="BA24" s="1370" t="s">
        <v>22</v>
      </c>
      <c r="BB24" s="756"/>
      <c r="BC24" s="1370" t="s">
        <v>22</v>
      </c>
      <c r="BD24" s="756"/>
      <c r="BE24" s="1370" t="s">
        <v>22</v>
      </c>
      <c r="BF24" s="756"/>
      <c r="BG24" s="1370" t="s">
        <v>22</v>
      </c>
      <c r="BH24" s="756"/>
      <c r="BI24" s="1370" t="s">
        <v>22</v>
      </c>
      <c r="BJ24" s="756"/>
      <c r="BK24" s="1370" t="s">
        <v>22</v>
      </c>
      <c r="BL24" s="756"/>
      <c r="BM24" s="1370" t="s">
        <v>22</v>
      </c>
      <c r="BN24" s="756"/>
      <c r="BO24" s="1370" t="s">
        <v>22</v>
      </c>
      <c r="BP24" s="756"/>
      <c r="BQ24" s="1370" t="s">
        <v>22</v>
      </c>
      <c r="BR24" s="756"/>
      <c r="BS24" s="1370" t="s">
        <v>22</v>
      </c>
      <c r="BT24" s="756"/>
      <c r="BU24" s="1370" t="s">
        <v>22</v>
      </c>
      <c r="BV24" s="756"/>
      <c r="BW24" s="1370" t="s">
        <v>22</v>
      </c>
      <c r="BX24" s="756"/>
      <c r="BY24" s="1370" t="s">
        <v>22</v>
      </c>
      <c r="BZ24" s="756"/>
      <c r="CA24" s="1370" t="s">
        <v>22</v>
      </c>
      <c r="CB24" s="756"/>
      <c r="CC24" s="1370" t="s">
        <v>22</v>
      </c>
      <c r="CD24" s="756"/>
      <c r="CE24" s="1370" t="s">
        <v>22</v>
      </c>
      <c r="CF24" s="756"/>
      <c r="CG24" s="1370" t="s">
        <v>22</v>
      </c>
      <c r="CH24" s="756"/>
      <c r="CT24" s="509">
        <v>15</v>
      </c>
    </row>
    <row s="1639" customFormat="1" customHeight="1" ht="1.05">
      <c r="A25" s="763"/>
      <c r="C25" s="180"/>
      <c r="D25" s="513"/>
      <c r="E25" s="513"/>
      <c r="F25" s="513"/>
      <c r="G25" s="541"/>
      <c r="H25" s="756"/>
      <c r="I25" s="541" t="s">
        <v>182</v>
      </c>
      <c r="J25" s="756"/>
      <c r="K25" s="1370" t="s">
        <v>238</v>
      </c>
      <c r="L25" s="756"/>
      <c r="M25" s="1370" t="s">
        <v>250</v>
      </c>
      <c r="N25" s="756"/>
      <c r="O25" s="1370" t="s">
        <v>253</v>
      </c>
      <c r="P25" s="756"/>
      <c r="Q25" s="1370" t="s">
        <v>186</v>
      </c>
      <c r="R25" s="756"/>
      <c r="S25" s="1370" t="s">
        <v>188</v>
      </c>
      <c r="T25" s="756"/>
      <c r="U25" s="1370" t="s">
        <v>190</v>
      </c>
      <c r="V25" s="756"/>
      <c r="W25" s="1370" t="s">
        <v>192</v>
      </c>
      <c r="X25" s="756"/>
      <c r="Y25" s="1370" t="s">
        <v>194</v>
      </c>
      <c r="Z25" s="756"/>
      <c r="AA25" s="1370" t="s">
        <v>196</v>
      </c>
      <c r="AB25" s="756"/>
      <c r="AC25" s="1370" t="s">
        <v>198</v>
      </c>
      <c r="AD25" s="756"/>
      <c r="AE25" s="1370" t="s">
        <v>201</v>
      </c>
      <c r="AF25" s="756"/>
      <c r="AG25" s="1370" t="s">
        <v>203</v>
      </c>
      <c r="AH25" s="756"/>
      <c r="AI25" s="1370" t="s">
        <v>207</v>
      </c>
      <c r="AJ25" s="756"/>
      <c r="AK25" s="1370" t="s">
        <v>211</v>
      </c>
      <c r="AL25" s="756"/>
      <c r="AM25" s="1370" t="s">
        <v>213</v>
      </c>
      <c r="AN25" s="756"/>
      <c r="AO25" s="1370" t="s">
        <v>215</v>
      </c>
      <c r="AP25" s="756"/>
      <c r="AQ25" s="1370" t="s">
        <v>217</v>
      </c>
      <c r="AR25" s="756"/>
      <c r="AS25" s="1370" t="s">
        <v>225</v>
      </c>
      <c r="AT25" s="756"/>
      <c r="AU25" s="1370" t="s">
        <v>229</v>
      </c>
      <c r="AV25" s="756"/>
      <c r="AW25" s="1370" t="s">
        <v>231</v>
      </c>
      <c r="AX25" s="756"/>
      <c r="AY25" s="1370" t="s">
        <v>235</v>
      </c>
      <c r="AZ25" s="756"/>
      <c r="BA25" s="1370" t="s">
        <v>205</v>
      </c>
      <c r="BB25" s="756"/>
      <c r="BC25" s="1370" t="s">
        <v>209</v>
      </c>
      <c r="BD25" s="756"/>
      <c r="BE25" s="1370" t="s">
        <v>219</v>
      </c>
      <c r="BF25" s="756"/>
      <c r="BG25" s="1370" t="s">
        <v>221</v>
      </c>
      <c r="BH25" s="756"/>
      <c r="BI25" s="1370" t="s">
        <v>223</v>
      </c>
      <c r="BJ25" s="756"/>
      <c r="BK25" s="1370" t="s">
        <v>227</v>
      </c>
      <c r="BL25" s="756"/>
      <c r="BM25" s="1370" t="s">
        <v>233</v>
      </c>
      <c r="BN25" s="756"/>
      <c r="BO25" s="1370" t="s">
        <v>240</v>
      </c>
      <c r="BP25" s="756"/>
      <c r="BQ25" s="1370" t="s">
        <v>242</v>
      </c>
      <c r="BR25" s="756"/>
      <c r="BS25" s="1370" t="s">
        <v>244</v>
      </c>
      <c r="BT25" s="756"/>
      <c r="BU25" s="1370" t="s">
        <v>246</v>
      </c>
      <c r="BV25" s="756"/>
      <c r="BW25" s="1370" t="s">
        <v>248</v>
      </c>
      <c r="BX25" s="756"/>
      <c r="BY25" s="1370" t="s">
        <v>256</v>
      </c>
      <c r="BZ25" s="756"/>
      <c r="CA25" s="1370" t="s">
        <v>258</v>
      </c>
      <c r="CB25" s="756"/>
      <c r="CC25" s="1370" t="s">
        <v>260</v>
      </c>
      <c r="CD25" s="756"/>
      <c r="CE25" s="1370" t="s">
        <v>262</v>
      </c>
      <c r="CF25" s="756"/>
      <c r="CG25" s="1370" t="s">
        <v>264</v>
      </c>
      <c r="CH25" s="756"/>
      <c r="CI25" s="421"/>
      <c r="CS25" s="679"/>
      <c r="CT25" s="762">
        <v>1</v>
      </c>
    </row>
    <row customHeight="1" ht="15.75">
      <c r="C26" s="180"/>
      <c r="D26" s="715"/>
      <c r="E26" s="2384" t="s">
        <v>173</v>
      </c>
      <c r="F26" s="2385"/>
      <c r="G26" s="2412" t="str">
        <f>IF(G25="","",INDEX(DIFFERENTIATION_UNMERGE_VD,MATCH(G25,DIFFERENTIATION_ID_DIFF,0)))</f>
        <v/>
      </c>
      <c r="H26" s="2413"/>
      <c r="I26" s="2412" t="str">
        <f>IF(I25="","",INDEX(DIFFERENTIATION_UNMERGE_VD,MATCH(I25,DIFFERENTIATION_ID_DIFF,0)))</f>
        <v>Холодное водоснабжение. Питьевая вода</v>
      </c>
      <c r="J26" s="2413"/>
      <c r="K26" s="2412" t="str">
        <f>IF(K25="","",INDEX(DIFFERENTIATION_UNMERGE_VD,MATCH(K25,DIFFERENTIATION_ID_DIFF,0)))</f>
        <v>Подключение (технологическое присоединение) к централизованной системе водоснабжения</v>
      </c>
      <c r="L26" s="2413"/>
      <c r="M26" s="2412" t="str">
        <f>IF(M25="","",INDEX(DIFFERENTIATION_UNMERGE_VD,MATCH(M25,DIFFERENTIATION_ID_DIFF,0)))</f>
        <v>Холодное водоснабжение. Техническая вода</v>
      </c>
      <c r="N26" s="2413"/>
      <c r="O26" s="2412" t="str">
        <f>IF(O25="","",INDEX(DIFFERENTIATION_UNMERGE_VD,MATCH(O25,DIFFERENTIATION_ID_DIFF,0)))</f>
        <v>Холодное водоснабжение. Подвозная вода</v>
      </c>
      <c r="P26" s="2413"/>
      <c r="Q26" s="2412" t="str">
        <f>IF(Q25="","",INDEX(DIFFERENTIATION_UNMERGE_VD,MATCH(Q25,DIFFERENTIATION_ID_DIFF,0)))</f>
        <v>Холодное водоснабжение. Питьевая вода</v>
      </c>
      <c r="R26" s="2413"/>
      <c r="S26" s="2412" t="str">
        <f>IF(S25="","",INDEX(DIFFERENTIATION_UNMERGE_VD,MATCH(S25,DIFFERENTIATION_ID_DIFF,0)))</f>
        <v>Холодное водоснабжение. Питьевая вода</v>
      </c>
      <c r="T26" s="2413"/>
      <c r="U26" s="2412" t="str">
        <f>IF(U25="","",INDEX(DIFFERENTIATION_UNMERGE_VD,MATCH(U25,DIFFERENTIATION_ID_DIFF,0)))</f>
        <v>Холодное водоснабжение. Питьевая вода</v>
      </c>
      <c r="V26" s="2413"/>
      <c r="W26" s="2412" t="str">
        <f>IF(W25="","",INDEX(DIFFERENTIATION_UNMERGE_VD,MATCH(W25,DIFFERENTIATION_ID_DIFF,0)))</f>
        <v>Холодное водоснабжение. Питьевая вода</v>
      </c>
      <c r="X26" s="2413"/>
      <c r="Y26" s="2412" t="str">
        <f>IF(Y25="","",INDEX(DIFFERENTIATION_UNMERGE_VD,MATCH(Y25,DIFFERENTIATION_ID_DIFF,0)))</f>
        <v>Холодное водоснабжение. Питьевая вода</v>
      </c>
      <c r="Z26" s="2413"/>
      <c r="AA26" s="2412" t="str">
        <f>IF(AA25="","",INDEX(DIFFERENTIATION_UNMERGE_VD,MATCH(AA25,DIFFERENTIATION_ID_DIFF,0)))</f>
        <v>Холодное водоснабжение. Питьевая вода</v>
      </c>
      <c r="AB26" s="2413"/>
      <c r="AC26" s="2412" t="str">
        <f>IF(AC25="","",INDEX(DIFFERENTIATION_UNMERGE_VD,MATCH(AC25,DIFFERENTIATION_ID_DIFF,0)))</f>
        <v>Холодное водоснабжение. Питьевая вода</v>
      </c>
      <c r="AD26" s="2413"/>
      <c r="AE26" s="2412" t="str">
        <f>IF(AE25="","",INDEX(DIFFERENTIATION_UNMERGE_VD,MATCH(AE25,DIFFERENTIATION_ID_DIFF,0)))</f>
        <v>Холодное водоснабжение. Питьевая вода</v>
      </c>
      <c r="AF26" s="2413"/>
      <c r="AG26" s="2412" t="str">
        <f>IF(AG25="","",INDEX(DIFFERENTIATION_UNMERGE_VD,MATCH(AG25,DIFFERENTIATION_ID_DIFF,0)))</f>
        <v>Холодное водоснабжение. Питьевая вода</v>
      </c>
      <c r="AH26" s="2413"/>
      <c r="AI26" s="2412" t="str">
        <f>IF(AI25="","",INDEX(DIFFERENTIATION_UNMERGE_VD,MATCH(AI25,DIFFERENTIATION_ID_DIFF,0)))</f>
        <v>Холодное водоснабжение. Питьевая вода</v>
      </c>
      <c r="AJ26" s="2413"/>
      <c r="AK26" s="2412" t="str">
        <f>IF(AK25="","",INDEX(DIFFERENTIATION_UNMERGE_VD,MATCH(AK25,DIFFERENTIATION_ID_DIFF,0)))</f>
        <v>Холодное водоснабжение. Питьевая вода</v>
      </c>
      <c r="AL26" s="2413"/>
      <c r="AM26" s="2412" t="str">
        <f>IF(AM25="","",INDEX(DIFFERENTIATION_UNMERGE_VD,MATCH(AM25,DIFFERENTIATION_ID_DIFF,0)))</f>
        <v>Холодное водоснабжение. Питьевая вода</v>
      </c>
      <c r="AN26" s="2413"/>
      <c r="AO26" s="2412" t="str">
        <f>IF(AO25="","",INDEX(DIFFERENTIATION_UNMERGE_VD,MATCH(AO25,DIFFERENTIATION_ID_DIFF,0)))</f>
        <v>Холодное водоснабжение. Питьевая вода</v>
      </c>
      <c r="AP26" s="2413"/>
      <c r="AQ26" s="2412" t="str">
        <f>IF(AQ25="","",INDEX(DIFFERENTIATION_UNMERGE_VD,MATCH(AQ25,DIFFERENTIATION_ID_DIFF,0)))</f>
        <v>Холодное водоснабжение. Питьевая вода</v>
      </c>
      <c r="AR26" s="2413"/>
      <c r="AS26" s="2412" t="str">
        <f>IF(AS25="","",INDEX(DIFFERENTIATION_UNMERGE_VD,MATCH(AS25,DIFFERENTIATION_ID_DIFF,0)))</f>
        <v>Холодное водоснабжение. Питьевая вода</v>
      </c>
      <c r="AT26" s="2413"/>
      <c r="AU26" s="2412" t="str">
        <f>IF(AU25="","",INDEX(DIFFERENTIATION_UNMERGE_VD,MATCH(AU25,DIFFERENTIATION_ID_DIFF,0)))</f>
        <v>Холодное водоснабжение. Питьевая вода</v>
      </c>
      <c r="AV26" s="2413"/>
      <c r="AW26" s="2412" t="str">
        <f>IF(AW25="","",INDEX(DIFFERENTIATION_UNMERGE_VD,MATCH(AW25,DIFFERENTIATION_ID_DIFF,0)))</f>
        <v>Холодное водоснабжение. Питьевая вода</v>
      </c>
      <c r="AX26" s="2413"/>
      <c r="AY26" s="2412" t="str">
        <f>IF(AY25="","",INDEX(DIFFERENTIATION_UNMERGE_VD,MATCH(AY25,DIFFERENTIATION_ID_DIFF,0)))</f>
        <v>Холодное водоснабжение. Питьевая вода</v>
      </c>
      <c r="AZ26" s="2413"/>
      <c r="BA26" s="2412" t="str">
        <f>IF(BA25="","",INDEX(DIFFERENTIATION_UNMERGE_VD,MATCH(BA25,DIFFERENTIATION_ID_DIFF,0)))</f>
        <v>Холодное водоснабжение. Питьевая вода</v>
      </c>
      <c r="BB26" s="2413"/>
      <c r="BC26" s="2412" t="str">
        <f>IF(BC25="","",INDEX(DIFFERENTIATION_UNMERGE_VD,MATCH(BC25,DIFFERENTIATION_ID_DIFF,0)))</f>
        <v>Холодное водоснабжение. Питьевая вода</v>
      </c>
      <c r="BD26" s="2413"/>
      <c r="BE26" s="2412" t="str">
        <f>IF(BE25="","",INDEX(DIFFERENTIATION_UNMERGE_VD,MATCH(BE25,DIFFERENTIATION_ID_DIFF,0)))</f>
        <v>Холодное водоснабжение. Питьевая вода</v>
      </c>
      <c r="BF26" s="2413"/>
      <c r="BG26" s="2412" t="str">
        <f>IF(BG25="","",INDEX(DIFFERENTIATION_UNMERGE_VD,MATCH(BG25,DIFFERENTIATION_ID_DIFF,0)))</f>
        <v>Холодное водоснабжение. Питьевая вода</v>
      </c>
      <c r="BH26" s="2413"/>
      <c r="BI26" s="2412" t="str">
        <f>IF(BI25="","",INDEX(DIFFERENTIATION_UNMERGE_VD,MATCH(BI25,DIFFERENTIATION_ID_DIFF,0)))</f>
        <v>Холодное водоснабжение. Питьевая вода</v>
      </c>
      <c r="BJ26" s="2413"/>
      <c r="BK26" s="2412" t="str">
        <f>IF(BK25="","",INDEX(DIFFERENTIATION_UNMERGE_VD,MATCH(BK25,DIFFERENTIATION_ID_DIFF,0)))</f>
        <v>Холодное водоснабжение. Питьевая вода</v>
      </c>
      <c r="BL26" s="2413"/>
      <c r="BM26" s="2412" t="str">
        <f>IF(BM25="","",INDEX(DIFFERENTIATION_UNMERGE_VD,MATCH(BM25,DIFFERENTIATION_ID_DIFF,0)))</f>
        <v>Холодное водоснабжение. Питьевая вода</v>
      </c>
      <c r="BN26" s="2413"/>
      <c r="BO26" s="2412" t="str">
        <f>IF(BO25="","",INDEX(DIFFERENTIATION_UNMERGE_VD,MATCH(BO25,DIFFERENTIATION_ID_DIFF,0)))</f>
        <v>Подключение (технологическое присоединение) к централизованной системе водоснабжения</v>
      </c>
      <c r="BP26" s="2413"/>
      <c r="BQ26" s="2412" t="str">
        <f>IF(BQ25="","",INDEX(DIFFERENTIATION_UNMERGE_VD,MATCH(BQ25,DIFFERENTIATION_ID_DIFF,0)))</f>
        <v>Подключение (технологическое присоединение) к централизованной системе водоснабжения</v>
      </c>
      <c r="BR26" s="2413"/>
      <c r="BS26" s="2412" t="str">
        <f>IF(BS25="","",INDEX(DIFFERENTIATION_UNMERGE_VD,MATCH(BS25,DIFFERENTIATION_ID_DIFF,0)))</f>
        <v>Подключение (технологическое присоединение) к централизованной системе водоснабжения</v>
      </c>
      <c r="BT26" s="2413"/>
      <c r="BU26" s="2412" t="str">
        <f>IF(BU25="","",INDEX(DIFFERENTIATION_UNMERGE_VD,MATCH(BU25,DIFFERENTIATION_ID_DIFF,0)))</f>
        <v>Подключение (технологическое присоединение) к централизованной системе водоснабжения</v>
      </c>
      <c r="BV26" s="2413"/>
      <c r="BW26" s="2412" t="str">
        <f>IF(BW25="","",INDEX(DIFFERENTIATION_UNMERGE_VD,MATCH(BW25,DIFFERENTIATION_ID_DIFF,0)))</f>
        <v>Подключение (технологическое присоединение) к централизованной системе водоснабжения</v>
      </c>
      <c r="BX26" s="2413"/>
      <c r="BY26" s="2412" t="str">
        <f>IF(BY25="","",INDEX(DIFFERENTIATION_UNMERGE_VD,MATCH(BY25,DIFFERENTIATION_ID_DIFF,0)))</f>
        <v>Холодное водоснабжение. Подвозная вода</v>
      </c>
      <c r="BZ26" s="2413"/>
      <c r="CA26" s="2412" t="str">
        <f>IF(CA25="","",INDEX(DIFFERENTIATION_UNMERGE_VD,MATCH(CA25,DIFFERENTIATION_ID_DIFF,0)))</f>
        <v>Холодное водоснабжение. Подвозная вода</v>
      </c>
      <c r="CB26" s="2413"/>
      <c r="CC26" s="2412" t="str">
        <f>IF(CC25="","",INDEX(DIFFERENTIATION_UNMERGE_VD,MATCH(CC25,DIFFERENTIATION_ID_DIFF,0)))</f>
        <v>Холодное водоснабжение. Подвозная вода</v>
      </c>
      <c r="CD26" s="2413"/>
      <c r="CE26" s="2412" t="str">
        <f>IF(CE25="","",INDEX(DIFFERENTIATION_UNMERGE_VD,MATCH(CE25,DIFFERENTIATION_ID_DIFF,0)))</f>
        <v>Холодное водоснабжение. Подвозная вода</v>
      </c>
      <c r="CF26" s="2413"/>
      <c r="CG26" s="2412" t="str">
        <f>IF(CG25="","",INDEX(DIFFERENTIATION_UNMERGE_VD,MATCH(CG25,DIFFERENTIATION_ID_DIFF,0)))</f>
        <v>Холодное водоснабжение. Подвозная вода</v>
      </c>
      <c r="CH26" s="2413"/>
      <c r="CI26" s="2192" t="s">
        <v>439</v>
      </c>
      <c r="CT26" s="509">
        <v>15</v>
      </c>
    </row>
    <row s="1639" customFormat="1" customHeight="1" ht="15.75">
      <c r="A27" s="763"/>
      <c r="C27" s="180"/>
      <c r="D27" s="715"/>
      <c r="E27" s="2384" t="s">
        <v>702</v>
      </c>
      <c r="F27" s="2385"/>
      <c r="G27" s="2412" t="str">
        <f>IF(G25="","",INDEX(DIFFERENTIATION_UNMERGE_AREA,MATCH(G25,DIFFERENTIATION_ID_DIFF,0)))</f>
        <v/>
      </c>
      <c r="H27" s="2413"/>
      <c r="I27" s="2412" t="str">
        <f>IF(I25="","",INDEX(DIFFERENTIATION_UNMERGE_AREA,MATCH(I25,DIFFERENTIATION_ID_DIFF,0)))</f>
        <v>Территория 1</v>
      </c>
      <c r="J27" s="2413"/>
      <c r="K27" s="2412" t="str">
        <f>IF(K25="","",INDEX(DIFFERENTIATION_UNMERGE_AREA,MATCH(K25,DIFFERENTIATION_ID_DIFF,0)))</f>
        <v>Территория 8</v>
      </c>
      <c r="L27" s="2413"/>
      <c r="M27" s="2412" t="str">
        <f>IF(M25="","",INDEX(DIFFERENTIATION_UNMERGE_AREA,MATCH(M25,DIFFERENTIATION_ID_DIFF,0)))</f>
        <v>Территория 9</v>
      </c>
      <c r="N27" s="2413"/>
      <c r="O27" s="2412" t="str">
        <f>IF(O25="","",INDEX(DIFFERENTIATION_UNMERGE_AREA,MATCH(O25,DIFFERENTIATION_ID_DIFF,0)))</f>
        <v>Территория 2</v>
      </c>
      <c r="P27" s="2413"/>
      <c r="Q27" s="2412" t="str">
        <f>IF(Q25="","",INDEX(DIFFERENTIATION_UNMERGE_AREA,MATCH(Q25,DIFFERENTIATION_ID_DIFF,0)))</f>
        <v>Территория 1</v>
      </c>
      <c r="R27" s="2413"/>
      <c r="S27" s="2412" t="str">
        <f>IF(S25="","",INDEX(DIFFERENTIATION_UNMERGE_AREA,MATCH(S25,DIFFERENTIATION_ID_DIFF,0)))</f>
        <v>Территория 1</v>
      </c>
      <c r="T27" s="2413"/>
      <c r="U27" s="2412" t="str">
        <f>IF(U25="","",INDEX(DIFFERENTIATION_UNMERGE_AREA,MATCH(U25,DIFFERENTIATION_ID_DIFF,0)))</f>
        <v>Территория 1</v>
      </c>
      <c r="V27" s="2413"/>
      <c r="W27" s="2412" t="str">
        <f>IF(W25="","",INDEX(DIFFERENTIATION_UNMERGE_AREA,MATCH(W25,DIFFERENTIATION_ID_DIFF,0)))</f>
        <v>Территория 1</v>
      </c>
      <c r="X27" s="2413"/>
      <c r="Y27" s="2412" t="str">
        <f>IF(Y25="","",INDEX(DIFFERENTIATION_UNMERGE_AREA,MATCH(Y25,DIFFERENTIATION_ID_DIFF,0)))</f>
        <v>Территория 1</v>
      </c>
      <c r="Z27" s="2413"/>
      <c r="AA27" s="2412" t="str">
        <f>IF(AA25="","",INDEX(DIFFERENTIATION_UNMERGE_AREA,MATCH(AA25,DIFFERENTIATION_ID_DIFF,0)))</f>
        <v>Территория 1</v>
      </c>
      <c r="AB27" s="2413"/>
      <c r="AC27" s="2412" t="str">
        <f>IF(AC25="","",INDEX(DIFFERENTIATION_UNMERGE_AREA,MATCH(AC25,DIFFERENTIATION_ID_DIFF,0)))</f>
        <v>Территория 1</v>
      </c>
      <c r="AD27" s="2413"/>
      <c r="AE27" s="2412" t="str">
        <f>IF(AE25="","",INDEX(DIFFERENTIATION_UNMERGE_AREA,MATCH(AE25,DIFFERENTIATION_ID_DIFF,0)))</f>
        <v>Территория 2</v>
      </c>
      <c r="AF27" s="2413"/>
      <c r="AG27" s="2412" t="str">
        <f>IF(AG25="","",INDEX(DIFFERENTIATION_UNMERGE_AREA,MATCH(AG25,DIFFERENTIATION_ID_DIFF,0)))</f>
        <v>Территория 3</v>
      </c>
      <c r="AH27" s="2413"/>
      <c r="AI27" s="2412" t="str">
        <f>IF(AI25="","",INDEX(DIFFERENTIATION_UNMERGE_AREA,MATCH(AI25,DIFFERENTIATION_ID_DIFF,0)))</f>
        <v>Территория 4</v>
      </c>
      <c r="AJ27" s="2413"/>
      <c r="AK27" s="2412" t="str">
        <f>IF(AK25="","",INDEX(DIFFERENTIATION_UNMERGE_AREA,MATCH(AK25,DIFFERENTIATION_ID_DIFF,0)))</f>
        <v>Территория 5</v>
      </c>
      <c r="AL27" s="2413"/>
      <c r="AM27" s="2412" t="str">
        <f>IF(AM25="","",INDEX(DIFFERENTIATION_UNMERGE_AREA,MATCH(AM25,DIFFERENTIATION_ID_DIFF,0)))</f>
        <v>Территория 6</v>
      </c>
      <c r="AN27" s="2413"/>
      <c r="AO27" s="2412" t="str">
        <f>IF(AO25="","",INDEX(DIFFERENTIATION_UNMERGE_AREA,MATCH(AO25,DIFFERENTIATION_ID_DIFF,0)))</f>
        <v>Территория 7</v>
      </c>
      <c r="AP27" s="2413"/>
      <c r="AQ27" s="2412" t="str">
        <f>IF(AQ25="","",INDEX(DIFFERENTIATION_UNMERGE_AREA,MATCH(AQ25,DIFFERENTIATION_ID_DIFF,0)))</f>
        <v>Территория 8</v>
      </c>
      <c r="AR27" s="2413"/>
      <c r="AS27" s="2412" t="str">
        <f>IF(AS25="","",INDEX(DIFFERENTIATION_UNMERGE_AREA,MATCH(AS25,DIFFERENTIATION_ID_DIFF,0)))</f>
        <v>Территория 9</v>
      </c>
      <c r="AT27" s="2413"/>
      <c r="AU27" s="2412" t="str">
        <f>IF(AU25="","",INDEX(DIFFERENTIATION_UNMERGE_AREA,MATCH(AU25,DIFFERENTIATION_ID_DIFF,0)))</f>
        <v>Территория 10</v>
      </c>
      <c r="AV27" s="2413"/>
      <c r="AW27" s="2412" t="str">
        <f>IF(AW25="","",INDEX(DIFFERENTIATION_UNMERGE_AREA,MATCH(AW25,DIFFERENTIATION_ID_DIFF,0)))</f>
        <v>Территория 11</v>
      </c>
      <c r="AX27" s="2413"/>
      <c r="AY27" s="2412" t="str">
        <f>IF(AY25="","",INDEX(DIFFERENTIATION_UNMERGE_AREA,MATCH(AY25,DIFFERENTIATION_ID_DIFF,0)))</f>
        <v>Территория 12</v>
      </c>
      <c r="AZ27" s="2413"/>
      <c r="BA27" s="2412" t="str">
        <f>IF(BA25="","",INDEX(DIFFERENTIATION_UNMERGE_AREA,MATCH(BA25,DIFFERENTIATION_ID_DIFF,0)))</f>
        <v>Территория 3</v>
      </c>
      <c r="BB27" s="2413"/>
      <c r="BC27" s="2412" t="str">
        <f>IF(BC25="","",INDEX(DIFFERENTIATION_UNMERGE_AREA,MATCH(BC25,DIFFERENTIATION_ID_DIFF,0)))</f>
        <v>Территория 4</v>
      </c>
      <c r="BD27" s="2413"/>
      <c r="BE27" s="2412" t="str">
        <f>IF(BE25="","",INDEX(DIFFERENTIATION_UNMERGE_AREA,MATCH(BE25,DIFFERENTIATION_ID_DIFF,0)))</f>
        <v>Территория 8</v>
      </c>
      <c r="BF27" s="2413"/>
      <c r="BG27" s="2412" t="str">
        <f>IF(BG25="","",INDEX(DIFFERENTIATION_UNMERGE_AREA,MATCH(BG25,DIFFERENTIATION_ID_DIFF,0)))</f>
        <v>Территория 8</v>
      </c>
      <c r="BH27" s="2413"/>
      <c r="BI27" s="2412" t="str">
        <f>IF(BI25="","",INDEX(DIFFERENTIATION_UNMERGE_AREA,MATCH(BI25,DIFFERENTIATION_ID_DIFF,0)))</f>
        <v>Территория 8</v>
      </c>
      <c r="BJ27" s="2413"/>
      <c r="BK27" s="2412" t="str">
        <f>IF(BK25="","",INDEX(DIFFERENTIATION_UNMERGE_AREA,MATCH(BK25,DIFFERENTIATION_ID_DIFF,0)))</f>
        <v>Территория 9</v>
      </c>
      <c r="BL27" s="2413"/>
      <c r="BM27" s="2412" t="str">
        <f>IF(BM25="","",INDEX(DIFFERENTIATION_UNMERGE_AREA,MATCH(BM25,DIFFERENTIATION_ID_DIFF,0)))</f>
        <v>Территория 11</v>
      </c>
      <c r="BN27" s="2413"/>
      <c r="BO27" s="2412" t="str">
        <f>IF(BO25="","",INDEX(DIFFERENTIATION_UNMERGE_AREA,MATCH(BO25,DIFFERENTIATION_ID_DIFF,0)))</f>
        <v>Территория 9</v>
      </c>
      <c r="BP27" s="2413"/>
      <c r="BQ27" s="2412" t="str">
        <f>IF(BQ25="","",INDEX(DIFFERENTIATION_UNMERGE_AREA,MATCH(BQ25,DIFFERENTIATION_ID_DIFF,0)))</f>
        <v>Территория 6</v>
      </c>
      <c r="BR27" s="2413"/>
      <c r="BS27" s="2412" t="str">
        <f>IF(BS25="","",INDEX(DIFFERENTIATION_UNMERGE_AREA,MATCH(BS25,DIFFERENTIATION_ID_DIFF,0)))</f>
        <v>Территория 7</v>
      </c>
      <c r="BT27" s="2413"/>
      <c r="BU27" s="2412" t="str">
        <f>IF(BU25="","",INDEX(DIFFERENTIATION_UNMERGE_AREA,MATCH(BU25,DIFFERENTIATION_ID_DIFF,0)))</f>
        <v>Территория 11</v>
      </c>
      <c r="BV27" s="2413"/>
      <c r="BW27" s="2412" t="str">
        <f>IF(BW25="","",INDEX(DIFFERENTIATION_UNMERGE_AREA,MATCH(BW25,DIFFERENTIATION_ID_DIFF,0)))</f>
        <v>Территория 1</v>
      </c>
      <c r="BX27" s="2413"/>
      <c r="BY27" s="2412" t="str">
        <f>IF(BY25="","",INDEX(DIFFERENTIATION_UNMERGE_AREA,MATCH(BY25,DIFFERENTIATION_ID_DIFF,0)))</f>
        <v>Территория 7</v>
      </c>
      <c r="BZ27" s="2413"/>
      <c r="CA27" s="2412" t="str">
        <f>IF(CA25="","",INDEX(DIFFERENTIATION_UNMERGE_AREA,MATCH(CA25,DIFFERENTIATION_ID_DIFF,0)))</f>
        <v>Территория 5</v>
      </c>
      <c r="CB27" s="2413"/>
      <c r="CC27" s="2412" t="str">
        <f>IF(CC25="","",INDEX(DIFFERENTIATION_UNMERGE_AREA,MATCH(CC25,DIFFERENTIATION_ID_DIFF,0)))</f>
        <v>Территория 4</v>
      </c>
      <c r="CD27" s="2413"/>
      <c r="CE27" s="2412" t="str">
        <f>IF(CE25="","",INDEX(DIFFERENTIATION_UNMERGE_AREA,MATCH(CE25,DIFFERENTIATION_ID_DIFF,0)))</f>
        <v>Территория 8</v>
      </c>
      <c r="CF27" s="2413"/>
      <c r="CG27" s="2412" t="str">
        <f>IF(CG25="","",INDEX(DIFFERENTIATION_UNMERGE_AREA,MATCH(CG25,DIFFERENTIATION_ID_DIFF,0)))</f>
        <v>Территория 6</v>
      </c>
      <c r="CH27" s="2413"/>
      <c r="CI27" s="2212"/>
      <c r="CS27" s="679"/>
      <c r="CT27" s="762">
        <v>15</v>
      </c>
    </row>
    <row s="1639" customFormat="1" customHeight="1" ht="15.75">
      <c r="A28" s="763"/>
      <c r="C28" s="180"/>
      <c r="D28" s="715"/>
      <c r="E28" s="2384" t="s">
        <v>703</v>
      </c>
      <c r="F28" s="2385"/>
      <c r="G28" s="2412" t="str">
        <f>IF(G25="","",INDEX(DIFFERENTIATION_UNMERGE_SYSTEM,MATCH(G25,DIFFERENTIATION_ID_DIFF,0)))</f>
        <v/>
      </c>
      <c r="H28" s="2413"/>
      <c r="I28" s="2412" t="str">
        <f>IF(I25="","",INDEX(DIFFERENTIATION_UNMERGE_SYSTEM,MATCH(I25,DIFFERENTIATION_ID_DIFF,0)))</f>
        <v>Централизованная система водоснабжения Барабашского сельского поселения</v>
      </c>
      <c r="J28" s="2413"/>
      <c r="K28" s="2412" t="str">
        <f>IF(K25="","",INDEX(DIFFERENTIATION_UNMERGE_SYSTEM,MATCH(K25,DIFFERENTIATION_ID_DIFF,0)))</f>
        <v>Черниговский МР</v>
      </c>
      <c r="L28" s="2413"/>
      <c r="M28" s="2412" t="str">
        <f>IF(M25="","",INDEX(DIFFERENTIATION_UNMERGE_SYSTEM,MATCH(M25,DIFFERENTIATION_ID_DIFF,0)))</f>
        <v> Городской округ Спасск-Дальний, Городской округ Спасск-Дальний (05720000)</v>
      </c>
      <c r="N28" s="2413"/>
      <c r="O28" s="2412" t="str">
        <f>IF(O25="","",INDEX(DIFFERENTIATION_UNMERGE_SYSTEM,MATCH(O25,DIFFERENTIATION_ID_DIFF,0)))</f>
        <v>Анучинский муниципальный округ, Анучинский муниципальный округ (05502000)</v>
      </c>
      <c r="P28" s="2413"/>
      <c r="Q28" s="2412" t="str">
        <f>IF(Q25="","",INDEX(DIFFERENTIATION_UNMERGE_SYSTEM,MATCH(Q25,DIFFERENTIATION_ID_DIFF,0)))</f>
        <v>Централизованная система водоснабжения Барабашского сельского поселения.Военный городок</v>
      </c>
      <c r="R28" s="2413"/>
      <c r="S28" s="2412" t="str">
        <f>IF(S25="","",INDEX(DIFFERENTIATION_UNMERGE_SYSTEM,MATCH(S25,DIFFERENTIATION_ID_DIFF,0)))</f>
        <v>Централизованная система водоснабжения Безверховского сельского поселения</v>
      </c>
      <c r="T28" s="2413"/>
      <c r="U28" s="2412" t="str">
        <f>IF(U25="","",INDEX(DIFFERENTIATION_UNMERGE_SYSTEM,MATCH(U25,DIFFERENTIATION_ID_DIFF,0)))</f>
        <v>Централизованная система водоснабжения Краскинского городского поселения</v>
      </c>
      <c r="V28" s="2413"/>
      <c r="W28" s="2412" t="str">
        <f>IF(W25="","",INDEX(DIFFERENTIATION_UNMERGE_SYSTEM,MATCH(W25,DIFFERENTIATION_ID_DIFF,0)))</f>
        <v>Централизованная система водоснабжения Посьетского городского поселения</v>
      </c>
      <c r="X28" s="2413"/>
      <c r="Y28" s="2412" t="str">
        <f>IF(Y25="","",INDEX(DIFFERENTIATION_UNMERGE_SYSTEM,MATCH(Y25,DIFFERENTIATION_ID_DIFF,0)))</f>
        <v>Централизованная система водоснабжения Приморского городского поселения</v>
      </c>
      <c r="Z28" s="2413"/>
      <c r="AA28" s="2412" t="str">
        <f>IF(AA25="","",INDEX(DIFFERENTIATION_UNMERGE_SYSTEM,MATCH(AA25,DIFFERENTIATION_ID_DIFF,0)))</f>
        <v>Централизованная система водоснабжения пгт.Зарубино Хасанского муниципального округа</v>
      </c>
      <c r="AB28" s="2413"/>
      <c r="AC28" s="2412" t="str">
        <f>IF(AC25="","",INDEX(DIFFERENTIATION_UNMERGE_SYSTEM,MATCH(AC25,DIFFERENTIATION_ID_DIFF,0)))</f>
        <v>Централизованная система водоснабжения пгт. Хасан Хасанского муниципального округа</v>
      </c>
      <c r="AD28" s="2413"/>
      <c r="AE28" s="2412" t="str">
        <f>IF(AE25="","",INDEX(DIFFERENTIATION_UNMERGE_SYSTEM,MATCH(AE25,DIFFERENTIATION_ID_DIFF,0)))</f>
        <v>Централизованная система водоснабжения Анучинского сельского поселения</v>
      </c>
      <c r="AF28" s="2413"/>
      <c r="AG28" s="2412" t="str">
        <f>IF(AG25="","",INDEX(DIFFERENTIATION_UNMERGE_SYSTEM,MATCH(AG25,DIFFERENTIATION_ID_DIFF,0)))</f>
        <v>Централизованная система водоснабжения Романовского сельского поселения</v>
      </c>
      <c r="AH28" s="2413"/>
      <c r="AI28" s="2412" t="str">
        <f>IF(AI25="","",INDEX(DIFFERENTIATION_UNMERGE_SYSTEM,MATCH(AI25,DIFFERENTIATION_ID_DIFF,0)))</f>
        <v>Централизованная система водоснабжения городского округа ЗАТО город Фокино</v>
      </c>
      <c r="AJ28" s="2413"/>
      <c r="AK28" s="2412" t="str">
        <f>IF(AK25="","",INDEX(DIFFERENTIATION_UNMERGE_SYSTEM,MATCH(AK25,DIFFERENTIATION_ID_DIFF,0)))</f>
        <v>Централизованная система водоснабжения Новошахтинского городского поселения</v>
      </c>
      <c r="AL28" s="2413"/>
      <c r="AM28" s="2412" t="str">
        <f>IF(AM25="","",INDEX(DIFFERENTIATION_UNMERGE_SYSTEM,MATCH(AM25,DIFFERENTIATION_ID_DIFF,0)))</f>
        <v>Централизованная система водоснабжения Дальнегорского городского округа</v>
      </c>
      <c r="AN28" s="2413"/>
      <c r="AO28" s="2412" t="str">
        <f>IF(AO25="","",INDEX(DIFFERENTIATION_UNMERGE_SYSTEM,MATCH(AO25,DIFFERENTIATION_ID_DIFF,0)))</f>
        <v>Централизованная система водоснабжения Кавалеровского муниципального района</v>
      </c>
      <c r="AP28" s="2413"/>
      <c r="AQ28" s="2412" t="str">
        <f>IF(AQ25="","",INDEX(DIFFERENTIATION_UNMERGE_SYSTEM,MATCH(AQ25,DIFFERENTIATION_ID_DIFF,0)))</f>
        <v>Централизованная система водоснабжения Дмитриевского сельского поселения</v>
      </c>
      <c r="AR28" s="2413"/>
      <c r="AS28" s="2412" t="str">
        <f>IF(AS25="","",INDEX(DIFFERENTIATION_UNMERGE_SYSTEM,MATCH(AS25,DIFFERENTIATION_ID_DIFF,0)))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T28" s="2413"/>
      <c r="AU28" s="2412" t="str">
        <f>IF(AU25="","",INDEX(DIFFERENTIATION_UNMERGE_SYSTEM,MATCH(AU25,DIFFERENTIATION_ID_DIFF,0)))</f>
        <v>Централизованная система водоснабжения Глубинненского сельского поселения</v>
      </c>
      <c r="AV28" s="2413"/>
      <c r="AW28" s="2412" t="str">
        <f>IF(AW25="","",INDEX(DIFFERENTIATION_UNMERGE_SYSTEM,MATCH(AW25,DIFFERENTIATION_ID_DIFF,0)))</f>
        <v>Централизованная система водоснабжения  Дальнереченского городского округа</v>
      </c>
      <c r="AX28" s="2413"/>
      <c r="AY28" s="2412" t="str">
        <f>IF(AY25="","",INDEX(DIFFERENTIATION_UNMERGE_SYSTEM,MATCH(AY25,DIFFERENTIATION_ID_DIFF,0)))</f>
        <v>Централизованная истема водоснабжения Варфоломеевского сельского поселения (железнодорожная станция Варфоломеевка)</v>
      </c>
      <c r="AZ28" s="2413"/>
      <c r="BA28" s="2412" t="str">
        <f>IF(BA25="","",INDEX(DIFFERENTIATION_UNMERGE_SYSTEM,MATCH(BA25,DIFFERENTIATION_ID_DIFF,0)))</f>
        <v>Централизованная система водоснабжения Штыковского сельского поселения</v>
      </c>
      <c r="BB28" s="2413"/>
      <c r="BC28" s="2412" t="str">
        <f>IF(BC25="","",INDEX(DIFFERENTIATION_UNMERGE_SYSTEM,MATCH(BC25,DIFFERENTIATION_ID_DIFF,0)))</f>
        <v>Централизованная система водоснабжения городского округа ЗАТО город Фокино (п.Путятин)</v>
      </c>
      <c r="BD28" s="2413"/>
      <c r="BE28" s="2412" t="str">
        <f>IF(BE25="","",INDEX(DIFFERENTIATION_UNMERGE_SYSTEM,MATCH(BE25,DIFFERENTIATION_ID_DIFF,0)))</f>
        <v>Централизованная система водоснабжения Реттиховского сельского поселения</v>
      </c>
      <c r="BF28" s="2413"/>
      <c r="BG28" s="2412" t="str">
        <f>IF(BG25="","",INDEX(DIFFERENTIATION_UNMERGE_SYSTEM,MATCH(BG25,DIFFERENTIATION_ID_DIFF,0)))</f>
        <v>Централизованная система водоснабжения Снегуровского сельского поселения </v>
      </c>
      <c r="BH28" s="2413"/>
      <c r="BI28" s="2412" t="str">
        <f>IF(BI25="","",INDEX(DIFFERENTIATION_UNMERGE_SYSTEM,MATCH(BI25,DIFFERENTIATION_ID_DIFF,0)))</f>
        <v>Централизованная система водоснабжения Черниговского сельского поселения</v>
      </c>
      <c r="BJ28" s="2413"/>
      <c r="BK28" s="2412" t="str">
        <f>IF(BK25="","",INDEX(DIFFERENTIATION_UNMERGE_SYSTEM,MATCH(BK25,DIFFERENTIATION_ID_DIFF,0)))</f>
        <v>Централизованная система водоснабжения городского округа Спасск-Дальний МКР Лазо</v>
      </c>
      <c r="BL28" s="2413"/>
      <c r="BM28" s="2412" t="str">
        <f>IF(BM25="","",INDEX(DIFFERENTIATION_UNMERGE_SYSTEM,MATCH(BM25,DIFFERENTIATION_ID_DIFF,0)))</f>
        <v>Централизованная система водоснабжения  Дальнереченского городского округа (в.г.Графский)</v>
      </c>
      <c r="BN28" s="2413"/>
      <c r="BO28" s="2412" t="str">
        <f>IF(BO25="","",INDEX(DIFFERENTIATION_UNMERGE_SYSTEM,MATCH(BO25,DIFFERENTIATION_ID_DIFF,0)))</f>
        <v>Городской округ Спасск-Дальний</v>
      </c>
      <c r="BP28" s="2413"/>
      <c r="BQ28" s="2412" t="str">
        <f>IF(BQ25="","",INDEX(DIFFERENTIATION_UNMERGE_SYSTEM,MATCH(BQ25,DIFFERENTIATION_ID_DIFF,0)))</f>
        <v>Дальнегорский ГО</v>
      </c>
      <c r="BR28" s="2413"/>
      <c r="BS28" s="2412" t="str">
        <f>IF(BS25="","",INDEX(DIFFERENTIATION_UNMERGE_SYSTEM,MATCH(BS25,DIFFERENTIATION_ID_DIFF,0)))</f>
        <v>Кавалеровский МО</v>
      </c>
      <c r="BT28" s="2413"/>
      <c r="BU28" s="2412" t="str">
        <f>IF(BU25="","",INDEX(DIFFERENTIATION_UNMERGE_SYSTEM,MATCH(BU25,DIFFERENTIATION_ID_DIFF,0)))</f>
        <v>Дальнереченский ГО</v>
      </c>
      <c r="BV28" s="2413"/>
      <c r="BW28" s="2412" t="str">
        <f>IF(BW25="","",INDEX(DIFFERENTIATION_UNMERGE_SYSTEM,MATCH(BW25,DIFFERENTIATION_ID_DIFF,0)))</f>
        <v>пгт Посьет Хасанский муниципальный округ</v>
      </c>
      <c r="BX28" s="2413"/>
      <c r="BY28" s="2412" t="str">
        <f>IF(BY25="","",INDEX(DIFFERENTIATION_UNMERGE_SYSTEM,MATCH(BY25,DIFFERENTIATION_ID_DIFF,0)))</f>
        <v>Кавалеровский муниципальный район, Кавалеровкое городское поселение (05610151)</v>
      </c>
      <c r="BZ28" s="2413"/>
      <c r="CA28" s="2412" t="str">
        <f>IF(CA25="","",INDEX(DIFFERENTIATION_UNMERGE_SYSTEM,MATCH(CA25,DIFFERENTIATION_ID_DIFF,0)))</f>
        <v> Михайловский муниципальный район, Новошахтинское городское поселение (05620154)</v>
      </c>
      <c r="CB28" s="2413"/>
      <c r="CC28" s="2412" t="str">
        <f>IF(CC25="","",INDEX(DIFFERENTIATION_UNMERGE_SYSTEM,MATCH(CC25,DIFFERENTIATION_ID_DIFF,0)))</f>
        <v>Городской округ ЗАТО г.Фокино (пгт. Путятин)</v>
      </c>
      <c r="CD28" s="2413"/>
      <c r="CE28" s="2412" t="str">
        <f>IF(CE25="","",INDEX(DIFFERENTIATION_UNMERGE_SYSTEM,MATCH(CE25,DIFFERENTIATION_ID_DIFF,0)))</f>
        <v> Черниговский муниципальный район, Черниговское сельское поселение (05653425)</v>
      </c>
      <c r="CF28" s="2413"/>
      <c r="CG28" s="2412" t="str">
        <f>IF(CG25="","",INDEX(DIFFERENTIATION_UNMERGE_SYSTEM,MATCH(CG25,DIFFERENTIATION_ID_DIFF,0)))</f>
        <v> Дальнегорский городской округ, Дальнегорский городской округ (05707000)</v>
      </c>
      <c r="CH28" s="2413"/>
      <c r="CI28" s="2212"/>
      <c r="CS28" s="679"/>
      <c r="CT28" s="762">
        <v>15</v>
      </c>
    </row>
    <row s="1639" customFormat="1" customHeight="1" ht="15.75">
      <c r="A29" s="763"/>
      <c r="C29" s="180"/>
      <c r="D29" s="2386" t="s">
        <v>438</v>
      </c>
      <c r="E29" s="2387"/>
      <c r="F29" s="2387"/>
      <c r="G29" s="891"/>
      <c r="H29" s="891"/>
      <c r="I29" s="891"/>
      <c r="J29" s="892"/>
      <c r="K29" s="2384"/>
      <c r="L29" s="2384"/>
      <c r="M29" s="2384"/>
      <c r="N29" s="2384"/>
      <c r="O29" s="2384"/>
      <c r="P29" s="2384"/>
      <c r="Q29" s="2384"/>
      <c r="R29" s="2384"/>
      <c r="S29" s="2384"/>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2384"/>
      <c r="BB29" s="2384"/>
      <c r="BC29" s="2384"/>
      <c r="BD29" s="2384"/>
      <c r="BE29" s="2384"/>
      <c r="BF29" s="2384"/>
      <c r="BG29" s="2384"/>
      <c r="BH29" s="2384"/>
      <c r="BI29" s="2384"/>
      <c r="BJ29" s="2384"/>
      <c r="BK29" s="2384"/>
      <c r="BL29" s="2384"/>
      <c r="BM29" s="2384"/>
      <c r="BN29" s="2384"/>
      <c r="BO29" s="2384"/>
      <c r="BP29" s="2384"/>
      <c r="BQ29" s="2384"/>
      <c r="BR29" s="2384"/>
      <c r="BS29" s="2384"/>
      <c r="BT29" s="2384"/>
      <c r="BU29" s="2384"/>
      <c r="BV29" s="2384"/>
      <c r="BW29" s="2384"/>
      <c r="BX29" s="2384"/>
      <c r="BY29" s="2384"/>
      <c r="BZ29" s="2384"/>
      <c r="CA29" s="2384"/>
      <c r="CB29" s="2384"/>
      <c r="CC29" s="2384"/>
      <c r="CD29" s="2384"/>
      <c r="CE29" s="2384"/>
      <c r="CF29" s="2384"/>
      <c r="CG29" s="2384"/>
      <c r="CH29" s="2384"/>
      <c r="CI29" s="2212"/>
      <c r="CS29" s="679"/>
      <c r="CT29" s="762">
        <v>15</v>
      </c>
    </row>
    <row customHeight="1" ht="35.699999999999996">
      <c r="C30" s="180"/>
      <c r="D30" s="765" t="s">
        <v>87</v>
      </c>
      <c r="E30" s="764" t="s">
        <v>440</v>
      </c>
      <c r="F30" s="764" t="s">
        <v>704</v>
      </c>
      <c r="G30" s="812" t="s">
        <v>441</v>
      </c>
      <c r="H30" s="811" t="s">
        <v>528</v>
      </c>
      <c r="I30" s="688" t="s">
        <v>441</v>
      </c>
      <c r="J30" s="469" t="s">
        <v>528</v>
      </c>
      <c r="K30" s="2279" t="s">
        <v>441</v>
      </c>
      <c r="L30" s="2383" t="s">
        <v>528</v>
      </c>
      <c r="M30" s="2279" t="s">
        <v>441</v>
      </c>
      <c r="N30" s="2383" t="s">
        <v>528</v>
      </c>
      <c r="O30" s="2279" t="s">
        <v>441</v>
      </c>
      <c r="P30" s="2383" t="s">
        <v>528</v>
      </c>
      <c r="Q30" s="2279" t="s">
        <v>441</v>
      </c>
      <c r="R30" s="2383" t="s">
        <v>528</v>
      </c>
      <c r="S30" s="2279" t="s">
        <v>441</v>
      </c>
      <c r="T30" s="2383" t="s">
        <v>528</v>
      </c>
      <c r="U30" s="2279" t="s">
        <v>441</v>
      </c>
      <c r="V30" s="2383" t="s">
        <v>528</v>
      </c>
      <c r="W30" s="2279" t="s">
        <v>441</v>
      </c>
      <c r="X30" s="2383" t="s">
        <v>528</v>
      </c>
      <c r="Y30" s="2279" t="s">
        <v>441</v>
      </c>
      <c r="Z30" s="2383" t="s">
        <v>528</v>
      </c>
      <c r="AA30" s="2279" t="s">
        <v>441</v>
      </c>
      <c r="AB30" s="2383" t="s">
        <v>528</v>
      </c>
      <c r="AC30" s="2279" t="s">
        <v>441</v>
      </c>
      <c r="AD30" s="2383" t="s">
        <v>528</v>
      </c>
      <c r="AE30" s="2279" t="s">
        <v>441</v>
      </c>
      <c r="AF30" s="2383" t="s">
        <v>528</v>
      </c>
      <c r="AG30" s="2279" t="s">
        <v>441</v>
      </c>
      <c r="AH30" s="2383" t="s">
        <v>528</v>
      </c>
      <c r="AI30" s="2279" t="s">
        <v>441</v>
      </c>
      <c r="AJ30" s="2383" t="s">
        <v>528</v>
      </c>
      <c r="AK30" s="2279" t="s">
        <v>441</v>
      </c>
      <c r="AL30" s="2383" t="s">
        <v>528</v>
      </c>
      <c r="AM30" s="2279" t="s">
        <v>441</v>
      </c>
      <c r="AN30" s="2383" t="s">
        <v>528</v>
      </c>
      <c r="AO30" s="2279" t="s">
        <v>441</v>
      </c>
      <c r="AP30" s="2383" t="s">
        <v>528</v>
      </c>
      <c r="AQ30" s="2279" t="s">
        <v>441</v>
      </c>
      <c r="AR30" s="2383" t="s">
        <v>528</v>
      </c>
      <c r="AS30" s="2279" t="s">
        <v>441</v>
      </c>
      <c r="AT30" s="2383" t="s">
        <v>528</v>
      </c>
      <c r="AU30" s="2279" t="s">
        <v>441</v>
      </c>
      <c r="AV30" s="2383" t="s">
        <v>528</v>
      </c>
      <c r="AW30" s="2279" t="s">
        <v>441</v>
      </c>
      <c r="AX30" s="2383" t="s">
        <v>528</v>
      </c>
      <c r="AY30" s="2279" t="s">
        <v>441</v>
      </c>
      <c r="AZ30" s="2383" t="s">
        <v>528</v>
      </c>
      <c r="BA30" s="2279" t="s">
        <v>441</v>
      </c>
      <c r="BB30" s="2383" t="s">
        <v>528</v>
      </c>
      <c r="BC30" s="2279" t="s">
        <v>441</v>
      </c>
      <c r="BD30" s="2383" t="s">
        <v>528</v>
      </c>
      <c r="BE30" s="2279" t="s">
        <v>441</v>
      </c>
      <c r="BF30" s="2383" t="s">
        <v>528</v>
      </c>
      <c r="BG30" s="2279" t="s">
        <v>441</v>
      </c>
      <c r="BH30" s="2383" t="s">
        <v>528</v>
      </c>
      <c r="BI30" s="2279" t="s">
        <v>441</v>
      </c>
      <c r="BJ30" s="2383" t="s">
        <v>528</v>
      </c>
      <c r="BK30" s="2279" t="s">
        <v>441</v>
      </c>
      <c r="BL30" s="2383" t="s">
        <v>528</v>
      </c>
      <c r="BM30" s="2279" t="s">
        <v>441</v>
      </c>
      <c r="BN30" s="2383" t="s">
        <v>528</v>
      </c>
      <c r="BO30" s="2279" t="s">
        <v>441</v>
      </c>
      <c r="BP30" s="2383" t="s">
        <v>528</v>
      </c>
      <c r="BQ30" s="2279" t="s">
        <v>441</v>
      </c>
      <c r="BR30" s="2383" t="s">
        <v>528</v>
      </c>
      <c r="BS30" s="2279" t="s">
        <v>441</v>
      </c>
      <c r="BT30" s="2383" t="s">
        <v>528</v>
      </c>
      <c r="BU30" s="2279" t="s">
        <v>441</v>
      </c>
      <c r="BV30" s="2383" t="s">
        <v>528</v>
      </c>
      <c r="BW30" s="2279" t="s">
        <v>441</v>
      </c>
      <c r="BX30" s="2383" t="s">
        <v>528</v>
      </c>
      <c r="BY30" s="2279" t="s">
        <v>441</v>
      </c>
      <c r="BZ30" s="2383" t="s">
        <v>528</v>
      </c>
      <c r="CA30" s="2279" t="s">
        <v>441</v>
      </c>
      <c r="CB30" s="2383" t="s">
        <v>528</v>
      </c>
      <c r="CC30" s="2279" t="s">
        <v>441</v>
      </c>
      <c r="CD30" s="2383" t="s">
        <v>528</v>
      </c>
      <c r="CE30" s="2279" t="s">
        <v>441</v>
      </c>
      <c r="CF30" s="2383" t="s">
        <v>528</v>
      </c>
      <c r="CG30" s="2279" t="s">
        <v>441</v>
      </c>
      <c r="CH30" s="2383" t="s">
        <v>528</v>
      </c>
      <c r="CI30" s="2218"/>
      <c r="CT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7"/>
      <c r="BU31" s="687"/>
      <c r="BV31" s="687"/>
      <c r="BW31" s="687"/>
      <c r="BX31" s="687"/>
      <c r="BY31" s="687"/>
      <c r="BZ31" s="687"/>
      <c r="CA31" s="687"/>
      <c r="CB31" s="687"/>
      <c r="CC31" s="687"/>
      <c r="CD31" s="687"/>
      <c r="CE31" s="687"/>
      <c r="CF31" s="687"/>
      <c r="CG31" s="687"/>
      <c r="CH31" s="687"/>
      <c r="CI31" s="293"/>
      <c r="CT31" s="509">
        <v>0</v>
      </c>
    </row>
    <row customHeight="1" ht="24">
      <c r="A32" s="509"/>
      <c r="B32" s="509" t="s">
        <v>1151</v>
      </c>
      <c r="C32" s="530"/>
      <c r="D32" s="696">
        <v>1</v>
      </c>
      <c r="E32" s="697" t="s">
        <v>1152</v>
      </c>
      <c r="F32" s="695" t="s">
        <v>444</v>
      </c>
      <c r="G32" s="817" t="s">
        <v>444</v>
      </c>
      <c r="H32" s="817" t="s">
        <v>444</v>
      </c>
      <c r="I32" s="695" t="s">
        <v>444</v>
      </c>
      <c r="J32" s="695" t="s">
        <v>444</v>
      </c>
      <c r="K32" s="2280" t="s">
        <v>444</v>
      </c>
      <c r="L32" s="2280" t="s">
        <v>444</v>
      </c>
      <c r="M32" s="2280" t="s">
        <v>444</v>
      </c>
      <c r="N32" s="2280" t="s">
        <v>444</v>
      </c>
      <c r="O32" s="2280" t="s">
        <v>444</v>
      </c>
      <c r="P32" s="2280" t="s">
        <v>444</v>
      </c>
      <c r="Q32" s="2280" t="s">
        <v>444</v>
      </c>
      <c r="R32" s="2280" t="s">
        <v>444</v>
      </c>
      <c r="S32" s="2280" t="s">
        <v>444</v>
      </c>
      <c r="T32" s="2280" t="s">
        <v>444</v>
      </c>
      <c r="U32" s="2280" t="s">
        <v>444</v>
      </c>
      <c r="V32" s="2280" t="s">
        <v>444</v>
      </c>
      <c r="W32" s="2280" t="s">
        <v>444</v>
      </c>
      <c r="X32" s="2280" t="s">
        <v>444</v>
      </c>
      <c r="Y32" s="2280" t="s">
        <v>444</v>
      </c>
      <c r="Z32" s="2280" t="s">
        <v>444</v>
      </c>
      <c r="AA32" s="2280" t="s">
        <v>444</v>
      </c>
      <c r="AB32" s="2280" t="s">
        <v>444</v>
      </c>
      <c r="AC32" s="2280" t="s">
        <v>444</v>
      </c>
      <c r="AD32" s="2280" t="s">
        <v>444</v>
      </c>
      <c r="AE32" s="2280" t="s">
        <v>444</v>
      </c>
      <c r="AF32" s="2280" t="s">
        <v>444</v>
      </c>
      <c r="AG32" s="2280" t="s">
        <v>444</v>
      </c>
      <c r="AH32" s="2280" t="s">
        <v>444</v>
      </c>
      <c r="AI32" s="2280" t="s">
        <v>444</v>
      </c>
      <c r="AJ32" s="2280" t="s">
        <v>444</v>
      </c>
      <c r="AK32" s="2280" t="s">
        <v>444</v>
      </c>
      <c r="AL32" s="2280" t="s">
        <v>444</v>
      </c>
      <c r="AM32" s="2280" t="s">
        <v>444</v>
      </c>
      <c r="AN32" s="2280" t="s">
        <v>444</v>
      </c>
      <c r="AO32" s="2280" t="s">
        <v>444</v>
      </c>
      <c r="AP32" s="2280" t="s">
        <v>444</v>
      </c>
      <c r="AQ32" s="2280" t="s">
        <v>444</v>
      </c>
      <c r="AR32" s="2280" t="s">
        <v>444</v>
      </c>
      <c r="AS32" s="2280" t="s">
        <v>444</v>
      </c>
      <c r="AT32" s="2280" t="s">
        <v>444</v>
      </c>
      <c r="AU32" s="2280" t="s">
        <v>444</v>
      </c>
      <c r="AV32" s="2280" t="s">
        <v>444</v>
      </c>
      <c r="AW32" s="2280" t="s">
        <v>444</v>
      </c>
      <c r="AX32" s="2280" t="s">
        <v>444</v>
      </c>
      <c r="AY32" s="2280" t="s">
        <v>444</v>
      </c>
      <c r="AZ32" s="2280" t="s">
        <v>444</v>
      </c>
      <c r="BA32" s="2280" t="s">
        <v>444</v>
      </c>
      <c r="BB32" s="2280" t="s">
        <v>444</v>
      </c>
      <c r="BC32" s="2280" t="s">
        <v>444</v>
      </c>
      <c r="BD32" s="2280" t="s">
        <v>444</v>
      </c>
      <c r="BE32" s="2280" t="s">
        <v>444</v>
      </c>
      <c r="BF32" s="2280" t="s">
        <v>444</v>
      </c>
      <c r="BG32" s="2280" t="s">
        <v>444</v>
      </c>
      <c r="BH32" s="2280" t="s">
        <v>444</v>
      </c>
      <c r="BI32" s="2280" t="s">
        <v>444</v>
      </c>
      <c r="BJ32" s="2280" t="s">
        <v>444</v>
      </c>
      <c r="BK32" s="2280" t="s">
        <v>444</v>
      </c>
      <c r="BL32" s="2280" t="s">
        <v>444</v>
      </c>
      <c r="BM32" s="2280" t="s">
        <v>444</v>
      </c>
      <c r="BN32" s="2280" t="s">
        <v>444</v>
      </c>
      <c r="BO32" s="2280" t="s">
        <v>444</v>
      </c>
      <c r="BP32" s="2280" t="s">
        <v>444</v>
      </c>
      <c r="BQ32" s="2280" t="s">
        <v>444</v>
      </c>
      <c r="BR32" s="2280" t="s">
        <v>444</v>
      </c>
      <c r="BS32" s="2280" t="s">
        <v>444</v>
      </c>
      <c r="BT32" s="2280" t="s">
        <v>444</v>
      </c>
      <c r="BU32" s="2280" t="s">
        <v>444</v>
      </c>
      <c r="BV32" s="2280" t="s">
        <v>444</v>
      </c>
      <c r="BW32" s="2280" t="s">
        <v>444</v>
      </c>
      <c r="BX32" s="2280" t="s">
        <v>444</v>
      </c>
      <c r="BY32" s="2280" t="s">
        <v>444</v>
      </c>
      <c r="BZ32" s="2280" t="s">
        <v>444</v>
      </c>
      <c r="CA32" s="2280" t="s">
        <v>444</v>
      </c>
      <c r="CB32" s="2280" t="s">
        <v>444</v>
      </c>
      <c r="CC32" s="2280" t="s">
        <v>444</v>
      </c>
      <c r="CD32" s="2280" t="s">
        <v>444</v>
      </c>
      <c r="CE32" s="2280" t="s">
        <v>444</v>
      </c>
      <c r="CF32" s="2280" t="s">
        <v>444</v>
      </c>
      <c r="CG32" s="2280" t="s">
        <v>444</v>
      </c>
      <c r="CH32" s="2280" t="s">
        <v>444</v>
      </c>
      <c r="CI32" s="293"/>
      <c r="CT32" s="509">
        <v>23</v>
      </c>
    </row>
    <row customHeight="1" ht="11.549999999999999">
      <c r="A33" s="509"/>
      <c r="C33" s="509"/>
      <c r="D33" s="351"/>
      <c r="E33" s="584" t="s">
        <v>732</v>
      </c>
      <c r="F33" s="576"/>
      <c r="G33" s="576"/>
      <c r="H33" s="576"/>
      <c r="I33" s="576"/>
      <c r="J33" s="576"/>
      <c r="K33" s="3021"/>
      <c r="L33" s="3022"/>
      <c r="M33" s="3023"/>
      <c r="N33" s="3024"/>
      <c r="O33" s="3025"/>
      <c r="P33" s="3026"/>
      <c r="Q33" s="3027"/>
      <c r="R33" s="3028"/>
      <c r="S33" s="3029"/>
      <c r="T33" s="3030"/>
      <c r="U33" s="3031"/>
      <c r="V33" s="3032"/>
      <c r="W33" s="3033"/>
      <c r="X33" s="3034"/>
      <c r="Y33" s="3035"/>
      <c r="Z33" s="3036"/>
      <c r="AA33" s="3037"/>
      <c r="AB33" s="3038"/>
      <c r="AC33" s="3039"/>
      <c r="AD33" s="3040"/>
      <c r="AE33" s="3041"/>
      <c r="AF33" s="3042"/>
      <c r="AG33" s="3043"/>
      <c r="AH33" s="3044"/>
      <c r="AI33" s="3045"/>
      <c r="AJ33" s="3046"/>
      <c r="AK33" s="3047"/>
      <c r="AL33" s="3048"/>
      <c r="AM33" s="3049"/>
      <c r="AN33" s="3050"/>
      <c r="AO33" s="3051"/>
      <c r="AP33" s="3052"/>
      <c r="AQ33" s="3053"/>
      <c r="AR33" s="3054"/>
      <c r="AS33" s="3055"/>
      <c r="AT33" s="3056"/>
      <c r="AU33" s="3057"/>
      <c r="AV33" s="3058"/>
      <c r="AW33" s="3059"/>
      <c r="AX33" s="3060"/>
      <c r="AY33" s="3061"/>
      <c r="AZ33" s="3062"/>
      <c r="BA33" s="3063"/>
      <c r="BB33" s="3064"/>
      <c r="BC33" s="3065"/>
      <c r="BD33" s="3066"/>
      <c r="BE33" s="3067"/>
      <c r="BF33" s="3068"/>
      <c r="BG33" s="3069"/>
      <c r="BH33" s="3070"/>
      <c r="BI33" s="3071"/>
      <c r="BJ33" s="3072"/>
      <c r="BK33" s="3073"/>
      <c r="BL33" s="3074"/>
      <c r="BM33" s="3075"/>
      <c r="BN33" s="3076"/>
      <c r="BO33" s="3077"/>
      <c r="BP33" s="3078"/>
      <c r="BQ33" s="3079"/>
      <c r="BR33" s="3080"/>
      <c r="BS33" s="3083"/>
      <c r="BT33" s="3084"/>
      <c r="BU33" s="3085"/>
      <c r="BV33" s="3086"/>
      <c r="BW33" s="3089"/>
      <c r="BX33" s="3090"/>
      <c r="BY33" s="3093"/>
      <c r="BZ33" s="3094"/>
      <c r="CA33" s="3095"/>
      <c r="CB33" s="3096"/>
      <c r="CC33" s="3097"/>
      <c r="CD33" s="3098"/>
      <c r="CE33" s="3099"/>
      <c r="CF33" s="3100"/>
      <c r="CG33" s="3101"/>
      <c r="CH33" s="3102"/>
      <c r="CI33" s="577"/>
      <c r="CS33" s="509"/>
      <c r="CT33" s="509">
        <v>11</v>
      </c>
    </row>
    <row customHeight="1" ht="24">
      <c r="A34" s="509"/>
      <c r="B34" s="585" t="s">
        <v>819</v>
      </c>
      <c r="C34" s="530"/>
      <c r="D34" s="696">
        <v>2</v>
      </c>
      <c r="E34" s="697" t="s">
        <v>1153</v>
      </c>
      <c r="F34" s="824" t="s">
        <v>444</v>
      </c>
      <c r="G34" s="824" t="s">
        <v>444</v>
      </c>
      <c r="H34" s="824" t="s">
        <v>444</v>
      </c>
      <c r="I34" s="695"/>
      <c r="J34" s="695"/>
      <c r="K34" s="2280" t="s">
        <v>444</v>
      </c>
      <c r="L34" s="2280" t="s">
        <v>444</v>
      </c>
      <c r="M34" s="2280" t="s">
        <v>444</v>
      </c>
      <c r="N34" s="2280" t="s">
        <v>444</v>
      </c>
      <c r="O34" s="2280" t="s">
        <v>444</v>
      </c>
      <c r="P34" s="2280" t="s">
        <v>444</v>
      </c>
      <c r="Q34" s="2280" t="s">
        <v>444</v>
      </c>
      <c r="R34" s="2280" t="s">
        <v>444</v>
      </c>
      <c r="S34" s="2280" t="s">
        <v>444</v>
      </c>
      <c r="T34" s="2280" t="s">
        <v>444</v>
      </c>
      <c r="U34" s="2280" t="s">
        <v>444</v>
      </c>
      <c r="V34" s="2280" t="s">
        <v>444</v>
      </c>
      <c r="W34" s="2280" t="s">
        <v>444</v>
      </c>
      <c r="X34" s="2280" t="s">
        <v>444</v>
      </c>
      <c r="Y34" s="2280" t="s">
        <v>444</v>
      </c>
      <c r="Z34" s="2280" t="s">
        <v>444</v>
      </c>
      <c r="AA34" s="2280" t="s">
        <v>444</v>
      </c>
      <c r="AB34" s="2280" t="s">
        <v>444</v>
      </c>
      <c r="AC34" s="2280" t="s">
        <v>444</v>
      </c>
      <c r="AD34" s="2280" t="s">
        <v>444</v>
      </c>
      <c r="AE34" s="2280" t="s">
        <v>444</v>
      </c>
      <c r="AF34" s="2280" t="s">
        <v>444</v>
      </c>
      <c r="AG34" s="2280" t="s">
        <v>444</v>
      </c>
      <c r="AH34" s="2280" t="s">
        <v>444</v>
      </c>
      <c r="AI34" s="2280" t="s">
        <v>444</v>
      </c>
      <c r="AJ34" s="2280" t="s">
        <v>444</v>
      </c>
      <c r="AK34" s="2280" t="s">
        <v>444</v>
      </c>
      <c r="AL34" s="2280" t="s">
        <v>444</v>
      </c>
      <c r="AM34" s="2280" t="s">
        <v>444</v>
      </c>
      <c r="AN34" s="2280" t="s">
        <v>444</v>
      </c>
      <c r="AO34" s="2280" t="s">
        <v>444</v>
      </c>
      <c r="AP34" s="2280" t="s">
        <v>444</v>
      </c>
      <c r="AQ34" s="2280" t="s">
        <v>444</v>
      </c>
      <c r="AR34" s="2280" t="s">
        <v>444</v>
      </c>
      <c r="AS34" s="2280" t="s">
        <v>444</v>
      </c>
      <c r="AT34" s="2280" t="s">
        <v>444</v>
      </c>
      <c r="AU34" s="2280" t="s">
        <v>444</v>
      </c>
      <c r="AV34" s="2280" t="s">
        <v>444</v>
      </c>
      <c r="AW34" s="2280" t="s">
        <v>444</v>
      </c>
      <c r="AX34" s="2280" t="s">
        <v>444</v>
      </c>
      <c r="AY34" s="2280" t="s">
        <v>444</v>
      </c>
      <c r="AZ34" s="2280" t="s">
        <v>444</v>
      </c>
      <c r="BA34" s="2280" t="s">
        <v>444</v>
      </c>
      <c r="BB34" s="2280" t="s">
        <v>444</v>
      </c>
      <c r="BC34" s="2280" t="s">
        <v>444</v>
      </c>
      <c r="BD34" s="2280" t="s">
        <v>444</v>
      </c>
      <c r="BE34" s="2280" t="s">
        <v>444</v>
      </c>
      <c r="BF34" s="2280" t="s">
        <v>444</v>
      </c>
      <c r="BG34" s="2280" t="s">
        <v>444</v>
      </c>
      <c r="BH34" s="2280" t="s">
        <v>444</v>
      </c>
      <c r="BI34" s="2280" t="s">
        <v>444</v>
      </c>
      <c r="BJ34" s="2280" t="s">
        <v>444</v>
      </c>
      <c r="BK34" s="2280" t="s">
        <v>444</v>
      </c>
      <c r="BL34" s="2280" t="s">
        <v>444</v>
      </c>
      <c r="BM34" s="2280" t="s">
        <v>444</v>
      </c>
      <c r="BN34" s="2280" t="s">
        <v>444</v>
      </c>
      <c r="BO34" s="2280" t="s">
        <v>444</v>
      </c>
      <c r="BP34" s="2280" t="s">
        <v>444</v>
      </c>
      <c r="BQ34" s="2280" t="s">
        <v>444</v>
      </c>
      <c r="BR34" s="2280" t="s">
        <v>444</v>
      </c>
      <c r="BS34" s="2280" t="s">
        <v>444</v>
      </c>
      <c r="BT34" s="2280" t="s">
        <v>444</v>
      </c>
      <c r="BU34" s="2280" t="s">
        <v>444</v>
      </c>
      <c r="BV34" s="2280" t="s">
        <v>444</v>
      </c>
      <c r="BW34" s="2280" t="s">
        <v>444</v>
      </c>
      <c r="BX34" s="2280" t="s">
        <v>444</v>
      </c>
      <c r="BY34" s="2280" t="s">
        <v>444</v>
      </c>
      <c r="BZ34" s="2280" t="s">
        <v>444</v>
      </c>
      <c r="CA34" s="2280" t="s">
        <v>444</v>
      </c>
      <c r="CB34" s="2280" t="s">
        <v>444</v>
      </c>
      <c r="CC34" s="2280" t="s">
        <v>444</v>
      </c>
      <c r="CD34" s="2280" t="s">
        <v>444</v>
      </c>
      <c r="CE34" s="2280" t="s">
        <v>444</v>
      </c>
      <c r="CF34" s="2280" t="s">
        <v>444</v>
      </c>
      <c r="CG34" s="2280" t="s">
        <v>444</v>
      </c>
      <c r="CH34" s="2280" t="s">
        <v>444</v>
      </c>
      <c r="CI34" s="293"/>
      <c r="CT34" s="509">
        <v>23</v>
      </c>
    </row>
    <row customHeight="1" ht="11.549999999999999">
      <c r="A35" s="509"/>
      <c r="C35" s="509"/>
      <c r="D35" s="351"/>
      <c r="E35" s="584" t="s">
        <v>1154</v>
      </c>
      <c r="F35" s="576"/>
      <c r="G35" s="698"/>
      <c r="H35" s="576"/>
      <c r="I35" s="698"/>
      <c r="J35" s="576"/>
      <c r="K35" s="3103"/>
      <c r="L35" s="3104"/>
      <c r="M35" s="3105"/>
      <c r="N35" s="3106"/>
      <c r="O35" s="3107"/>
      <c r="P35" s="3108"/>
      <c r="Q35" s="3109"/>
      <c r="R35" s="3110"/>
      <c r="S35" s="3111"/>
      <c r="T35" s="3112"/>
      <c r="U35" s="3113"/>
      <c r="V35" s="3114"/>
      <c r="W35" s="3115"/>
      <c r="X35" s="3116"/>
      <c r="Y35" s="3117"/>
      <c r="Z35" s="3118"/>
      <c r="AA35" s="3119"/>
      <c r="AB35" s="3120"/>
      <c r="AC35" s="3121"/>
      <c r="AD35" s="3122"/>
      <c r="AE35" s="3123"/>
      <c r="AF35" s="3124"/>
      <c r="AG35" s="3125"/>
      <c r="AH35" s="3126"/>
      <c r="AI35" s="3127"/>
      <c r="AJ35" s="3128"/>
      <c r="AK35" s="3129"/>
      <c r="AL35" s="3130"/>
      <c r="AM35" s="3131"/>
      <c r="AN35" s="3132"/>
      <c r="AO35" s="3133"/>
      <c r="AP35" s="3134"/>
      <c r="AQ35" s="3135"/>
      <c r="AR35" s="3136"/>
      <c r="AS35" s="3137"/>
      <c r="AT35" s="3138"/>
      <c r="AU35" s="3139"/>
      <c r="AV35" s="3140"/>
      <c r="AW35" s="3141"/>
      <c r="AX35" s="3142"/>
      <c r="AY35" s="3143"/>
      <c r="AZ35" s="3144"/>
      <c r="BA35" s="3145"/>
      <c r="BB35" s="3146"/>
      <c r="BC35" s="3147"/>
      <c r="BD35" s="3148"/>
      <c r="BE35" s="3149"/>
      <c r="BF35" s="3150"/>
      <c r="BG35" s="3151"/>
      <c r="BH35" s="3152"/>
      <c r="BI35" s="3153"/>
      <c r="BJ35" s="3154"/>
      <c r="BK35" s="3155"/>
      <c r="BL35" s="3156"/>
      <c r="BM35" s="3157"/>
      <c r="BN35" s="3158"/>
      <c r="BO35" s="3159"/>
      <c r="BP35" s="3160"/>
      <c r="BQ35" s="3161"/>
      <c r="BR35" s="3162"/>
      <c r="BS35" s="3165"/>
      <c r="BT35" s="3166"/>
      <c r="BU35" s="3167"/>
      <c r="BV35" s="3168"/>
      <c r="BW35" s="3171"/>
      <c r="BX35" s="3172"/>
      <c r="BY35" s="3175"/>
      <c r="BZ35" s="3176"/>
      <c r="CA35" s="3177"/>
      <c r="CB35" s="3178"/>
      <c r="CC35" s="3179"/>
      <c r="CD35" s="3180"/>
      <c r="CE35" s="3181"/>
      <c r="CF35" s="3182"/>
      <c r="CG35" s="3183"/>
      <c r="CH35" s="3184"/>
      <c r="CI35" s="577"/>
      <c r="CS35" s="509"/>
      <c r="CT35" s="509">
        <v>11</v>
      </c>
    </row>
    <row customHeight="1" ht="71.25">
      <c r="A36" s="509"/>
      <c r="B36" s="509" t="s">
        <v>1155</v>
      </c>
      <c r="C36" s="530"/>
      <c r="D36" s="696">
        <v>3</v>
      </c>
      <c r="E36" s="697" t="s">
        <v>1156</v>
      </c>
      <c r="F36" s="699" t="s">
        <v>444</v>
      </c>
      <c r="G36" s="818" t="s">
        <v>1157</v>
      </c>
      <c r="H36" s="817" t="s">
        <v>444</v>
      </c>
      <c r="I36" s="528" t="s">
        <v>1157</v>
      </c>
      <c r="J36" s="695" t="s">
        <v>444</v>
      </c>
      <c r="K36" s="2124" t="s">
        <v>1157</v>
      </c>
      <c r="L36" s="2280" t="s">
        <v>444</v>
      </c>
      <c r="M36" s="2124" t="s">
        <v>1157</v>
      </c>
      <c r="N36" s="2280" t="s">
        <v>444</v>
      </c>
      <c r="O36" s="2124" t="s">
        <v>1157</v>
      </c>
      <c r="P36" s="2280" t="s">
        <v>444</v>
      </c>
      <c r="Q36" s="2124" t="s">
        <v>1157</v>
      </c>
      <c r="R36" s="2280" t="s">
        <v>444</v>
      </c>
      <c r="S36" s="2124" t="s">
        <v>1157</v>
      </c>
      <c r="T36" s="2280" t="s">
        <v>444</v>
      </c>
      <c r="U36" s="2124" t="s">
        <v>1157</v>
      </c>
      <c r="V36" s="2280" t="s">
        <v>444</v>
      </c>
      <c r="W36" s="2124" t="s">
        <v>1157</v>
      </c>
      <c r="X36" s="2280" t="s">
        <v>444</v>
      </c>
      <c r="Y36" s="2124" t="s">
        <v>1157</v>
      </c>
      <c r="Z36" s="2280" t="s">
        <v>444</v>
      </c>
      <c r="AA36" s="2124" t="s">
        <v>1157</v>
      </c>
      <c r="AB36" s="2280" t="s">
        <v>444</v>
      </c>
      <c r="AC36" s="2124" t="s">
        <v>1157</v>
      </c>
      <c r="AD36" s="2280" t="s">
        <v>444</v>
      </c>
      <c r="AE36" s="2124" t="s">
        <v>1157</v>
      </c>
      <c r="AF36" s="2280" t="s">
        <v>444</v>
      </c>
      <c r="AG36" s="2124" t="s">
        <v>1157</v>
      </c>
      <c r="AH36" s="2280" t="s">
        <v>444</v>
      </c>
      <c r="AI36" s="2124" t="s">
        <v>1157</v>
      </c>
      <c r="AJ36" s="2280" t="s">
        <v>444</v>
      </c>
      <c r="AK36" s="2124" t="s">
        <v>1157</v>
      </c>
      <c r="AL36" s="2280" t="s">
        <v>444</v>
      </c>
      <c r="AM36" s="2124" t="s">
        <v>1157</v>
      </c>
      <c r="AN36" s="2280" t="s">
        <v>444</v>
      </c>
      <c r="AO36" s="2124" t="s">
        <v>1157</v>
      </c>
      <c r="AP36" s="2280" t="s">
        <v>444</v>
      </c>
      <c r="AQ36" s="2124" t="s">
        <v>1157</v>
      </c>
      <c r="AR36" s="2280" t="s">
        <v>444</v>
      </c>
      <c r="AS36" s="2124" t="s">
        <v>1157</v>
      </c>
      <c r="AT36" s="2280" t="s">
        <v>444</v>
      </c>
      <c r="AU36" s="2124" t="s">
        <v>1157</v>
      </c>
      <c r="AV36" s="2280" t="s">
        <v>444</v>
      </c>
      <c r="AW36" s="2124" t="s">
        <v>1157</v>
      </c>
      <c r="AX36" s="2280" t="s">
        <v>444</v>
      </c>
      <c r="AY36" s="2124" t="s">
        <v>1157</v>
      </c>
      <c r="AZ36" s="2280" t="s">
        <v>444</v>
      </c>
      <c r="BA36" s="2124" t="s">
        <v>1157</v>
      </c>
      <c r="BB36" s="2280" t="s">
        <v>444</v>
      </c>
      <c r="BC36" s="2124" t="s">
        <v>1157</v>
      </c>
      <c r="BD36" s="2280" t="s">
        <v>444</v>
      </c>
      <c r="BE36" s="2124" t="s">
        <v>1157</v>
      </c>
      <c r="BF36" s="2280" t="s">
        <v>444</v>
      </c>
      <c r="BG36" s="2124" t="s">
        <v>1157</v>
      </c>
      <c r="BH36" s="2280" t="s">
        <v>444</v>
      </c>
      <c r="BI36" s="2124" t="s">
        <v>1157</v>
      </c>
      <c r="BJ36" s="2280" t="s">
        <v>444</v>
      </c>
      <c r="BK36" s="2124" t="s">
        <v>1157</v>
      </c>
      <c r="BL36" s="2280" t="s">
        <v>444</v>
      </c>
      <c r="BM36" s="2124" t="s">
        <v>1157</v>
      </c>
      <c r="BN36" s="2280" t="s">
        <v>444</v>
      </c>
      <c r="BO36" s="2124" t="s">
        <v>1157</v>
      </c>
      <c r="BP36" s="2280" t="s">
        <v>444</v>
      </c>
      <c r="BQ36" s="2124" t="s">
        <v>1157</v>
      </c>
      <c r="BR36" s="2280" t="s">
        <v>444</v>
      </c>
      <c r="BS36" s="2124" t="s">
        <v>1157</v>
      </c>
      <c r="BT36" s="2280" t="s">
        <v>444</v>
      </c>
      <c r="BU36" s="2124" t="s">
        <v>1157</v>
      </c>
      <c r="BV36" s="2280" t="s">
        <v>444</v>
      </c>
      <c r="BW36" s="2124" t="s">
        <v>1157</v>
      </c>
      <c r="BX36" s="2280" t="s">
        <v>444</v>
      </c>
      <c r="BY36" s="2124" t="s">
        <v>1157</v>
      </c>
      <c r="BZ36" s="2280" t="s">
        <v>444</v>
      </c>
      <c r="CA36" s="2124" t="s">
        <v>1157</v>
      </c>
      <c r="CB36" s="2280" t="s">
        <v>444</v>
      </c>
      <c r="CC36" s="2124" t="s">
        <v>1157</v>
      </c>
      <c r="CD36" s="2280" t="s">
        <v>444</v>
      </c>
      <c r="CE36" s="2124" t="s">
        <v>1157</v>
      </c>
      <c r="CF36" s="2280" t="s">
        <v>444</v>
      </c>
      <c r="CG36" s="2124" t="s">
        <v>1157</v>
      </c>
      <c r="CH36" s="2280" t="s">
        <v>444</v>
      </c>
      <c r="CI36" s="293" t="s">
        <v>1158</v>
      </c>
      <c r="CT36" s="509">
        <v>68</v>
      </c>
    </row>
    <row customHeight="1" ht="11.549999999999999">
      <c r="A37" s="509"/>
      <c r="C37" s="509"/>
      <c r="D37" s="351"/>
      <c r="E37" s="584" t="s">
        <v>1159</v>
      </c>
      <c r="F37" s="576"/>
      <c r="G37" s="698"/>
      <c r="H37" s="698"/>
      <c r="I37" s="698"/>
      <c r="J37" s="698"/>
      <c r="K37" s="3185"/>
      <c r="L37" s="3186"/>
      <c r="M37" s="3187"/>
      <c r="N37" s="3188"/>
      <c r="O37" s="3189"/>
      <c r="P37" s="3190"/>
      <c r="Q37" s="3191"/>
      <c r="R37" s="3192"/>
      <c r="S37" s="3193"/>
      <c r="T37" s="3194"/>
      <c r="U37" s="3195"/>
      <c r="V37" s="3196"/>
      <c r="W37" s="3197"/>
      <c r="X37" s="3198"/>
      <c r="Y37" s="3199"/>
      <c r="Z37" s="3200"/>
      <c r="AA37" s="3201"/>
      <c r="AB37" s="3202"/>
      <c r="AC37" s="3203"/>
      <c r="AD37" s="3204"/>
      <c r="AE37" s="3205"/>
      <c r="AF37" s="3206"/>
      <c r="AG37" s="3207"/>
      <c r="AH37" s="3208"/>
      <c r="AI37" s="3209"/>
      <c r="AJ37" s="3210"/>
      <c r="AK37" s="3211"/>
      <c r="AL37" s="3212"/>
      <c r="AM37" s="3213"/>
      <c r="AN37" s="3214"/>
      <c r="AO37" s="3215"/>
      <c r="AP37" s="3216"/>
      <c r="AQ37" s="3217"/>
      <c r="AR37" s="3218"/>
      <c r="AS37" s="3219"/>
      <c r="AT37" s="3220"/>
      <c r="AU37" s="3221"/>
      <c r="AV37" s="3222"/>
      <c r="AW37" s="3223"/>
      <c r="AX37" s="3224"/>
      <c r="AY37" s="3225"/>
      <c r="AZ37" s="3226"/>
      <c r="BA37" s="3227"/>
      <c r="BB37" s="3228"/>
      <c r="BC37" s="3229"/>
      <c r="BD37" s="3230"/>
      <c r="BE37" s="3231"/>
      <c r="BF37" s="3232"/>
      <c r="BG37" s="3233"/>
      <c r="BH37" s="3234"/>
      <c r="BI37" s="3235"/>
      <c r="BJ37" s="3236"/>
      <c r="BK37" s="3237"/>
      <c r="BL37" s="3238"/>
      <c r="BM37" s="3239"/>
      <c r="BN37" s="3240"/>
      <c r="BO37" s="3241"/>
      <c r="BP37" s="3242"/>
      <c r="BQ37" s="3243"/>
      <c r="BR37" s="3244"/>
      <c r="BS37" s="3247"/>
      <c r="BT37" s="3248"/>
      <c r="BU37" s="3249"/>
      <c r="BV37" s="3250"/>
      <c r="BW37" s="3253"/>
      <c r="BX37" s="3254"/>
      <c r="BY37" s="3257"/>
      <c r="BZ37" s="3258"/>
      <c r="CA37" s="3259"/>
      <c r="CB37" s="3260"/>
      <c r="CC37" s="3261"/>
      <c r="CD37" s="3262"/>
      <c r="CE37" s="3263"/>
      <c r="CF37" s="3264"/>
      <c r="CG37" s="3265"/>
      <c r="CH37" s="3266"/>
      <c r="CI37" s="577"/>
      <c r="CS37" s="509"/>
      <c r="CT37" s="509">
        <v>11</v>
      </c>
    </row>
    <row customHeight="1" ht="71.25">
      <c r="A38" s="509"/>
      <c r="B38" s="509" t="s">
        <v>1160</v>
      </c>
      <c r="C38" s="530"/>
      <c r="D38" s="696">
        <v>4</v>
      </c>
      <c r="E38" s="697" t="s">
        <v>1161</v>
      </c>
      <c r="F38" s="699" t="s">
        <v>444</v>
      </c>
      <c r="G38" s="818" t="s">
        <v>1157</v>
      </c>
      <c r="H38" s="819" t="s">
        <v>444</v>
      </c>
      <c r="I38" s="528" t="s">
        <v>1157</v>
      </c>
      <c r="J38" s="525" t="s">
        <v>444</v>
      </c>
      <c r="K38" s="2124" t="s">
        <v>1157</v>
      </c>
      <c r="L38" s="2383" t="s">
        <v>444</v>
      </c>
      <c r="M38" s="2124" t="s">
        <v>1157</v>
      </c>
      <c r="N38" s="2383" t="s">
        <v>444</v>
      </c>
      <c r="O38" s="2124" t="s">
        <v>1157</v>
      </c>
      <c r="P38" s="2383" t="s">
        <v>444</v>
      </c>
      <c r="Q38" s="2124" t="s">
        <v>1157</v>
      </c>
      <c r="R38" s="2383" t="s">
        <v>444</v>
      </c>
      <c r="S38" s="2124" t="s">
        <v>1157</v>
      </c>
      <c r="T38" s="2383" t="s">
        <v>444</v>
      </c>
      <c r="U38" s="2124" t="s">
        <v>1157</v>
      </c>
      <c r="V38" s="2383" t="s">
        <v>444</v>
      </c>
      <c r="W38" s="2124" t="s">
        <v>1157</v>
      </c>
      <c r="X38" s="2383" t="s">
        <v>444</v>
      </c>
      <c r="Y38" s="2124" t="s">
        <v>1157</v>
      </c>
      <c r="Z38" s="2383" t="s">
        <v>444</v>
      </c>
      <c r="AA38" s="2124" t="s">
        <v>1157</v>
      </c>
      <c r="AB38" s="2383" t="s">
        <v>444</v>
      </c>
      <c r="AC38" s="2124" t="s">
        <v>1157</v>
      </c>
      <c r="AD38" s="2383" t="s">
        <v>444</v>
      </c>
      <c r="AE38" s="2124" t="s">
        <v>1157</v>
      </c>
      <c r="AF38" s="2383" t="s">
        <v>444</v>
      </c>
      <c r="AG38" s="2124" t="s">
        <v>1157</v>
      </c>
      <c r="AH38" s="2383" t="s">
        <v>444</v>
      </c>
      <c r="AI38" s="2124" t="s">
        <v>1157</v>
      </c>
      <c r="AJ38" s="2383" t="s">
        <v>444</v>
      </c>
      <c r="AK38" s="2124" t="s">
        <v>1157</v>
      </c>
      <c r="AL38" s="2383" t="s">
        <v>444</v>
      </c>
      <c r="AM38" s="2124" t="s">
        <v>1157</v>
      </c>
      <c r="AN38" s="2383" t="s">
        <v>444</v>
      </c>
      <c r="AO38" s="2124" t="s">
        <v>1157</v>
      </c>
      <c r="AP38" s="2383" t="s">
        <v>444</v>
      </c>
      <c r="AQ38" s="2124" t="s">
        <v>1157</v>
      </c>
      <c r="AR38" s="2383" t="s">
        <v>444</v>
      </c>
      <c r="AS38" s="2124" t="s">
        <v>1157</v>
      </c>
      <c r="AT38" s="2383" t="s">
        <v>444</v>
      </c>
      <c r="AU38" s="2124" t="s">
        <v>1157</v>
      </c>
      <c r="AV38" s="2383" t="s">
        <v>444</v>
      </c>
      <c r="AW38" s="2124" t="s">
        <v>1157</v>
      </c>
      <c r="AX38" s="2383" t="s">
        <v>444</v>
      </c>
      <c r="AY38" s="2124" t="s">
        <v>1157</v>
      </c>
      <c r="AZ38" s="2383" t="s">
        <v>444</v>
      </c>
      <c r="BA38" s="2124" t="s">
        <v>1157</v>
      </c>
      <c r="BB38" s="2383" t="s">
        <v>444</v>
      </c>
      <c r="BC38" s="2124" t="s">
        <v>1157</v>
      </c>
      <c r="BD38" s="2383" t="s">
        <v>444</v>
      </c>
      <c r="BE38" s="2124" t="s">
        <v>1157</v>
      </c>
      <c r="BF38" s="2383" t="s">
        <v>444</v>
      </c>
      <c r="BG38" s="2124" t="s">
        <v>1157</v>
      </c>
      <c r="BH38" s="2383" t="s">
        <v>444</v>
      </c>
      <c r="BI38" s="2124" t="s">
        <v>1157</v>
      </c>
      <c r="BJ38" s="2383" t="s">
        <v>444</v>
      </c>
      <c r="BK38" s="2124" t="s">
        <v>1157</v>
      </c>
      <c r="BL38" s="2383" t="s">
        <v>444</v>
      </c>
      <c r="BM38" s="2124" t="s">
        <v>1157</v>
      </c>
      <c r="BN38" s="2383" t="s">
        <v>444</v>
      </c>
      <c r="BO38" s="2124" t="s">
        <v>1157</v>
      </c>
      <c r="BP38" s="2383" t="s">
        <v>444</v>
      </c>
      <c r="BQ38" s="2124" t="s">
        <v>1157</v>
      </c>
      <c r="BR38" s="2383" t="s">
        <v>444</v>
      </c>
      <c r="BS38" s="2124" t="s">
        <v>1157</v>
      </c>
      <c r="BT38" s="2383" t="s">
        <v>444</v>
      </c>
      <c r="BU38" s="2124" t="s">
        <v>1157</v>
      </c>
      <c r="BV38" s="2383" t="s">
        <v>444</v>
      </c>
      <c r="BW38" s="2124" t="s">
        <v>1157</v>
      </c>
      <c r="BX38" s="2383" t="s">
        <v>444</v>
      </c>
      <c r="BY38" s="2124" t="s">
        <v>1157</v>
      </c>
      <c r="BZ38" s="2383" t="s">
        <v>444</v>
      </c>
      <c r="CA38" s="2124" t="s">
        <v>1157</v>
      </c>
      <c r="CB38" s="2383" t="s">
        <v>444</v>
      </c>
      <c r="CC38" s="2124" t="s">
        <v>1157</v>
      </c>
      <c r="CD38" s="2383" t="s">
        <v>444</v>
      </c>
      <c r="CE38" s="2124" t="s">
        <v>1157</v>
      </c>
      <c r="CF38" s="2383" t="s">
        <v>444</v>
      </c>
      <c r="CG38" s="2124" t="s">
        <v>1157</v>
      </c>
      <c r="CH38" s="2383" t="s">
        <v>444</v>
      </c>
      <c r="CI38" s="683" t="s">
        <v>1162</v>
      </c>
      <c r="CT38" s="509">
        <v>68</v>
      </c>
    </row>
    <row customHeight="1" ht="11.549999999999999">
      <c r="A39" s="509"/>
      <c r="C39" s="509"/>
      <c r="D39" s="351"/>
      <c r="E39" s="584" t="s">
        <v>1163</v>
      </c>
      <c r="F39" s="576"/>
      <c r="G39" s="576"/>
      <c r="H39" s="700"/>
      <c r="I39" s="576"/>
      <c r="J39" s="700"/>
      <c r="K39" s="3267"/>
      <c r="L39" s="3268"/>
      <c r="M39" s="3269"/>
      <c r="N39" s="3270"/>
      <c r="O39" s="3271"/>
      <c r="P39" s="3272"/>
      <c r="Q39" s="3273"/>
      <c r="R39" s="3274"/>
      <c r="S39" s="3275"/>
      <c r="T39" s="3276"/>
      <c r="U39" s="3277"/>
      <c r="V39" s="3278"/>
      <c r="W39" s="3279"/>
      <c r="X39" s="3280"/>
      <c r="Y39" s="3281"/>
      <c r="Z39" s="3282"/>
      <c r="AA39" s="3283"/>
      <c r="AB39" s="3284"/>
      <c r="AC39" s="3285"/>
      <c r="AD39" s="3286"/>
      <c r="AE39" s="3287"/>
      <c r="AF39" s="3288"/>
      <c r="AG39" s="3289"/>
      <c r="AH39" s="3290"/>
      <c r="AI39" s="3291"/>
      <c r="AJ39" s="3292"/>
      <c r="AK39" s="3293"/>
      <c r="AL39" s="3294"/>
      <c r="AM39" s="3295"/>
      <c r="AN39" s="3296"/>
      <c r="AO39" s="3297"/>
      <c r="AP39" s="3298"/>
      <c r="AQ39" s="3299"/>
      <c r="AR39" s="3300"/>
      <c r="AS39" s="3301"/>
      <c r="AT39" s="3302"/>
      <c r="AU39" s="3303"/>
      <c r="AV39" s="3304"/>
      <c r="AW39" s="3305"/>
      <c r="AX39" s="3306"/>
      <c r="AY39" s="3307"/>
      <c r="AZ39" s="3308"/>
      <c r="BA39" s="3309"/>
      <c r="BB39" s="3310"/>
      <c r="BC39" s="3311"/>
      <c r="BD39" s="3312"/>
      <c r="BE39" s="3313"/>
      <c r="BF39" s="3314"/>
      <c r="BG39" s="3315"/>
      <c r="BH39" s="3316"/>
      <c r="BI39" s="3317"/>
      <c r="BJ39" s="3318"/>
      <c r="BK39" s="3319"/>
      <c r="BL39" s="3320"/>
      <c r="BM39" s="3321"/>
      <c r="BN39" s="3322"/>
      <c r="BO39" s="3323"/>
      <c r="BP39" s="3324"/>
      <c r="BQ39" s="3325"/>
      <c r="BR39" s="3326"/>
      <c r="BS39" s="3329"/>
      <c r="BT39" s="3330"/>
      <c r="BU39" s="3331"/>
      <c r="BV39" s="3332"/>
      <c r="BW39" s="3335"/>
      <c r="BX39" s="3336"/>
      <c r="BY39" s="3339"/>
      <c r="BZ39" s="3340"/>
      <c r="CA39" s="3341"/>
      <c r="CB39" s="3342"/>
      <c r="CC39" s="3343"/>
      <c r="CD39" s="3344"/>
      <c r="CE39" s="3345"/>
      <c r="CF39" s="3346"/>
      <c r="CG39" s="3347"/>
      <c r="CH39" s="3348"/>
      <c r="CI39" s="577"/>
      <c r="CS39" s="509"/>
      <c r="CT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1639">
        <v>0</v>
      </c>
      <c r="AN40" s="1639">
        <v>0</v>
      </c>
      <c r="AO40" s="1639">
        <v>0</v>
      </c>
      <c r="AP40" s="1639">
        <v>0</v>
      </c>
      <c r="AQ40" s="1639">
        <v>0</v>
      </c>
      <c r="AR40" s="1639">
        <v>0</v>
      </c>
      <c r="AS40" s="1639">
        <v>0</v>
      </c>
      <c r="AT40" s="1639">
        <v>0</v>
      </c>
      <c r="AU40" s="1639">
        <v>0</v>
      </c>
      <c r="AV40" s="1639">
        <v>0</v>
      </c>
      <c r="AW40" s="1639">
        <v>0</v>
      </c>
      <c r="AX40" s="1639">
        <v>0</v>
      </c>
      <c r="AY40" s="1639">
        <v>0</v>
      </c>
      <c r="AZ40" s="1639">
        <v>0</v>
      </c>
      <c r="BA40" s="1639">
        <v>0</v>
      </c>
      <c r="BB40" s="1639">
        <v>0</v>
      </c>
      <c r="BC40" s="1639">
        <v>0</v>
      </c>
      <c r="BD40" s="1639">
        <v>0</v>
      </c>
      <c r="BE40" s="1639">
        <v>0</v>
      </c>
      <c r="BF40" s="1639">
        <v>0</v>
      </c>
      <c r="BG40" s="1639">
        <v>0</v>
      </c>
      <c r="BH40" s="1639">
        <v>0</v>
      </c>
      <c r="BI40" s="1639">
        <v>0</v>
      </c>
      <c r="BJ40" s="1639">
        <v>0</v>
      </c>
      <c r="BK40" s="1639">
        <v>0</v>
      </c>
      <c r="BL40" s="1639">
        <v>0</v>
      </c>
      <c r="BM40" s="1639">
        <v>0</v>
      </c>
      <c r="BN40" s="1639">
        <v>0</v>
      </c>
      <c r="BO40" s="1639">
        <v>0</v>
      </c>
      <c r="BP40" s="1639">
        <v>0</v>
      </c>
      <c r="BQ40" s="1639">
        <v>0</v>
      </c>
      <c r="BR40" s="1639">
        <v>0</v>
      </c>
      <c r="BS40" s="1639">
        <v>0</v>
      </c>
      <c r="BT40" s="1639">
        <v>0</v>
      </c>
      <c r="BU40" s="1639">
        <v>0</v>
      </c>
      <c r="BV40" s="1639">
        <v>0</v>
      </c>
      <c r="BW40" s="1639">
        <v>0</v>
      </c>
      <c r="BX40" s="1639">
        <v>0</v>
      </c>
      <c r="BY40" s="1639">
        <v>0</v>
      </c>
      <c r="BZ40" s="1639">
        <v>0</v>
      </c>
      <c r="CA40" s="1639">
        <v>0</v>
      </c>
      <c r="CB40" s="1639">
        <v>0</v>
      </c>
      <c r="CC40" s="1639">
        <v>0</v>
      </c>
      <c r="CD40" s="1639">
        <v>0</v>
      </c>
      <c r="CE40" s="1639">
        <v>0</v>
      </c>
      <c r="CF40" s="1639">
        <v>0</v>
      </c>
      <c r="CG40" s="1639">
        <v>0</v>
      </c>
      <c r="CH40" s="1639">
        <v>0</v>
      </c>
      <c r="CI40" s="421">
        <v>93</v>
      </c>
      <c r="CJ40" s="509">
        <v>10</v>
      </c>
      <c r="CK40" s="509">
        <v>10</v>
      </c>
      <c r="CL40" s="509">
        <v>10</v>
      </c>
      <c r="CM40" s="509">
        <v>10</v>
      </c>
      <c r="CN40" s="509">
        <v>10</v>
      </c>
      <c r="CO40" s="509">
        <v>10</v>
      </c>
      <c r="CP40" s="509">
        <v>10</v>
      </c>
      <c r="CQ40" s="509">
        <v>10</v>
      </c>
      <c r="CR40" s="509">
        <v>10</v>
      </c>
      <c r="CS40" s="679">
        <v>10</v>
      </c>
      <c r="CT40" s="509">
        <v>23</v>
      </c>
    </row>
  </sheetData>
  <sheetProtection formatColumns="0" formatRows="0" autoFilter="0" sort="0" insertRows="0" insertColumns="1" deleteRows="0" deleteColumns="0"/>
  <mergeCells count="135">
    <mergeCell ref="B3:B4"/>
    <mergeCell ref="C3:C4"/>
    <mergeCell ref="B6:B7"/>
    <mergeCell ref="C6:C7"/>
    <mergeCell ref="B9:B11"/>
    <mergeCell ref="C9:C11"/>
    <mergeCell ref="B13:B14"/>
    <mergeCell ref="C13:C14"/>
    <mergeCell ref="D22:I22"/>
    <mergeCell ref="D23:I23"/>
    <mergeCell ref="I26:J26"/>
    <mergeCell ref="E26:F26"/>
    <mergeCell ref="G28:H28"/>
    <mergeCell ref="CI26:C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H6:H7 J6:J7 L6:L7 N6:N7 P6:P7 R6:R7 T6:T7 V6:V7 X6:X7 Z6:Z7 AB6:AB7 AD6:AD7 AF6:AF7 AH6:AH7 AJ6:AJ7 AL6:AL7 AN6:AN7 AP6:AP7 AR6:AR7 AT6:AT7 AV6:AV7 AX6:AX7 AZ6:AZ7 BB6:BB7 BD6:BD7 BF6:BF7 BH6:BH7 BJ6:BJ7 BL6:BL7 BN6:BN7 BP6:BP7 BR6:BR7 BT6:BT7 BV6:BV7 BX6:BX7 BZ6:BZ7 CB6:CB7 CD6:CD7 CF6:CF7 CH6:CH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33D02-E066-D4F5-83BC-F2B076DE0AC8}" mc:Ignorable="x14ac xr xr2 xr3">
  <sheetPr>
    <tabColor theme="9" tint="-0.25"/>
  </sheetPr>
  <dimension ref="A1:AE36"/>
  <sheetViews>
    <sheetView showGridLines="0" zoomScale="85" workbookViewId="0">
      <pane xSplit="7" ySplit="10" topLeftCell="S28" activePane="bottomRight" state="frozen"/>
      <selection pane="bottomLeft" activeCell="A11" sqref="A11"/>
      <selection pane="topRight" activeCell="H1" sqref="H1"/>
      <selection pane="bottomRight" activeCell="W29" sqref="W29:W30"/>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0" style="1639" width="19.00390625" customWidth="1"/>
    <col min="21" max="21" style="1639" width="40.00390625" customWidth="1"/>
    <col min="22"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1164</v>
      </c>
      <c r="H3" s="1160"/>
      <c r="AE3" s="763">
        <v>0</v>
      </c>
    </row>
    <row customHeight="1" ht="3">
      <c r="AE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КГУП "Примтеплоэнерго"</v>
      </c>
      <c r="G6" s="2266"/>
      <c r="H6" s="2266"/>
      <c r="I6" s="2266"/>
      <c r="J6" s="2266"/>
      <c r="K6" s="2266"/>
      <c r="M6" s="586"/>
      <c r="AB6" s="1152"/>
      <c r="AE6" s="1635">
        <v>16</v>
      </c>
    </row>
    <row customHeight="1" ht="10.5">
      <c r="AE7" s="762">
        <v>10</v>
      </c>
    </row>
    <row customHeight="1" ht="10.5">
      <c r="A8" s="1055"/>
      <c r="B8" s="1055"/>
      <c r="C8" s="1055"/>
      <c r="F8" s="2118" t="s">
        <v>438</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1164</v>
      </c>
      <c r="H9" s="2192" t="s">
        <v>1165</v>
      </c>
      <c r="I9" s="2144" t="s">
        <v>1166</v>
      </c>
      <c r="J9" s="2144" t="s">
        <v>1167</v>
      </c>
      <c r="K9" s="2144" t="s">
        <v>1168</v>
      </c>
      <c r="L9" s="2144" t="s">
        <v>1169</v>
      </c>
      <c r="M9" s="2144" t="s">
        <v>1170</v>
      </c>
      <c r="N9" s="2226" t="s">
        <v>1171</v>
      </c>
      <c r="O9" s="2226"/>
      <c r="P9" s="2226"/>
      <c r="Q9" s="2416" t="s">
        <v>1172</v>
      </c>
      <c r="R9" s="2417"/>
      <c r="S9" s="2417"/>
      <c r="T9" s="2418"/>
      <c r="U9" s="2416" t="s">
        <v>1173</v>
      </c>
      <c r="V9" s="2417"/>
      <c r="W9" s="2417"/>
      <c r="X9" s="2418"/>
      <c r="Y9" s="2118" t="s">
        <v>1174</v>
      </c>
      <c r="Z9" s="2119"/>
      <c r="AA9" s="2119"/>
      <c r="AB9" s="2120"/>
      <c r="AE9" s="762">
        <v>41</v>
      </c>
    </row>
    <row customHeight="1" ht="43.050000000000004">
      <c r="A10" s="909"/>
      <c r="B10" s="909"/>
      <c r="C10" s="909"/>
      <c r="F10" s="2192"/>
      <c r="G10" s="2192"/>
      <c r="H10" s="2249"/>
      <c r="I10" s="2192"/>
      <c r="J10" s="2192"/>
      <c r="K10" s="2192"/>
      <c r="L10" s="2192"/>
      <c r="M10" s="2192"/>
      <c r="N10" s="907" t="s">
        <v>1175</v>
      </c>
      <c r="O10" s="907" t="s">
        <v>1176</v>
      </c>
      <c r="P10" s="908" t="s">
        <v>1177</v>
      </c>
      <c r="Q10" s="919" t="s">
        <v>88</v>
      </c>
      <c r="R10" s="919" t="s">
        <v>1178</v>
      </c>
      <c r="S10" s="919" t="s">
        <v>1179</v>
      </c>
      <c r="T10" s="920" t="s">
        <v>1180</v>
      </c>
      <c r="U10" s="919" t="s">
        <v>88</v>
      </c>
      <c r="V10" s="919" t="s">
        <v>1181</v>
      </c>
      <c r="W10" s="919" t="s">
        <v>1179</v>
      </c>
      <c r="X10" s="920" t="s">
        <v>1180</v>
      </c>
      <c r="Y10" s="305" t="s">
        <v>1182</v>
      </c>
      <c r="Z10" s="2118" t="s">
        <v>87</v>
      </c>
      <c r="AA10" s="2120"/>
      <c r="AB10" s="1053" t="s">
        <v>1183</v>
      </c>
      <c r="AE10" s="762">
        <v>41</v>
      </c>
    </row>
    <row s="1646" customFormat="1" customHeight="1" ht="5.25" hidden="1">
      <c r="A11" s="1056"/>
      <c r="B11" s="1056"/>
      <c r="C11" s="1056"/>
      <c r="E11" s="1054"/>
      <c r="F11" s="2423" t="s">
        <v>514</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1184</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60">
      <c r="A13" s="1170"/>
      <c r="B13" s="1170"/>
      <c r="C13" s="1170"/>
      <c r="D13" s="1164"/>
      <c r="E13" s="687" t="s">
        <v>103</v>
      </c>
      <c r="F13" s="2598" t="s">
        <v>105</v>
      </c>
      <c r="G13" s="2599" t="s">
        <v>1185</v>
      </c>
      <c r="H13" s="2600" t="s">
        <v>64</v>
      </c>
      <c r="I13" s="2602">
        <v>44497.518692129626</v>
      </c>
      <c r="J13" s="2565"/>
      <c r="K13" s="2604" t="s">
        <v>1186</v>
      </c>
      <c r="L13" s="2567" t="s">
        <v>1187</v>
      </c>
      <c r="M13" s="2567" t="s">
        <v>1188</v>
      </c>
      <c r="N13" s="2568" t="s">
        <v>1189</v>
      </c>
      <c r="O13" s="2568" t="s">
        <v>1190</v>
      </c>
      <c r="P13" s="2569" t="str">
        <f>DATEDIF(DATEVALUE(N13),DATEVALUE(O13),"y")&amp;"г. "&amp;DATEDIF(DATEVALUE(N13),DATEVALUE(O13),"ym")&amp;"мес. "&amp;DATEVALUE(O13)-DATE(YEAR(DATEVALUE(O13)),MONTH(DATEVALUE(O13)),1)&amp;"дн. "</f>
        <v>6г. 11мес. 30дн. </v>
      </c>
      <c r="Q13" s="2564" t="s">
        <v>1191</v>
      </c>
      <c r="R13" s="2564" t="s">
        <v>1192</v>
      </c>
      <c r="S13" s="2564" t="s">
        <v>1193</v>
      </c>
      <c r="T13" s="2565" t="s">
        <v>1194</v>
      </c>
      <c r="U13" s="2564" t="s">
        <v>1195</v>
      </c>
      <c r="V13" s="2564" t="s">
        <v>1196</v>
      </c>
      <c r="W13" s="2564" t="s">
        <v>1197</v>
      </c>
      <c r="X13" s="2565">
        <v>45350</v>
      </c>
      <c r="Y13" s="2562" t="s">
        <v>19</v>
      </c>
      <c r="Z13" s="1811"/>
      <c r="AA13" s="1795">
        <v>1</v>
      </c>
      <c r="AB13" s="3349" t="s">
        <v>22</v>
      </c>
      <c r="AC13" s="1639"/>
      <c r="AD13" s="1640" t="s">
        <v>1198</v>
      </c>
      <c r="AE13" s="1639"/>
    </row>
    <row customHeight="1" ht="60">
      <c r="A14" s="1170"/>
      <c r="B14" s="1170"/>
      <c r="C14" s="1170"/>
      <c r="D14" s="1164"/>
      <c r="E14" s="951"/>
      <c r="F14" s="2598" t="s">
        <v>514</v>
      </c>
      <c r="G14" s="2599"/>
      <c r="H14" s="2601"/>
      <c r="I14" s="2603"/>
      <c r="J14" s="2566"/>
      <c r="K14" s="2604"/>
      <c r="L14" s="2567" t="s">
        <v>1187</v>
      </c>
      <c r="M14" s="2567" t="s">
        <v>1188</v>
      </c>
      <c r="N14" s="2568"/>
      <c r="O14" s="2568"/>
      <c r="P14" s="2569"/>
      <c r="Q14" s="2564"/>
      <c r="R14" s="2564"/>
      <c r="S14" s="2564"/>
      <c r="T14" s="2566"/>
      <c r="U14" s="2564"/>
      <c r="V14" s="2564"/>
      <c r="W14" s="2564"/>
      <c r="X14" s="2566"/>
      <c r="Y14" s="2563"/>
      <c r="Z14" s="351"/>
      <c r="AA14" s="576"/>
      <c r="AB14" s="656" t="s">
        <v>1199</v>
      </c>
      <c r="AC14" s="1639"/>
      <c r="AD14" s="1639"/>
      <c r="AE14" s="1639"/>
    </row>
    <row customHeight="1" ht="45.75">
      <c r="A15" s="1170"/>
      <c r="B15" s="1170"/>
      <c r="C15" s="1170"/>
      <c r="D15" s="1164"/>
      <c r="E15" s="687" t="s">
        <v>103</v>
      </c>
      <c r="F15" s="2598" t="s">
        <v>102</v>
      </c>
      <c r="G15" s="2599" t="s">
        <v>1200</v>
      </c>
      <c r="H15" s="2600" t="s">
        <v>64</v>
      </c>
      <c r="I15" s="2602">
        <v>42704.51924768519</v>
      </c>
      <c r="J15" s="2565"/>
      <c r="K15" s="2604" t="s">
        <v>1186</v>
      </c>
      <c r="L15" s="2567" t="s">
        <v>1187</v>
      </c>
      <c r="M15" s="2567" t="s">
        <v>1201</v>
      </c>
      <c r="N15" s="2568" t="s">
        <v>1202</v>
      </c>
      <c r="O15" s="2568" t="s">
        <v>1203</v>
      </c>
      <c r="P15" s="2569" t="str">
        <f>DATEDIF(DATEVALUE(N15),DATEVALUE(O15),"y")&amp;"г. "&amp;DATEDIF(DATEVALUE(N15),DATEVALUE(O15),"ym")&amp;"мес. "&amp;DATEVALUE(O15)-DATE(YEAR(DATEVALUE(O15)),MONTH(DATEVALUE(O15)),1)&amp;"дн. "</f>
        <v>9г. 11мес. 30дн. </v>
      </c>
      <c r="Q15" s="2564" t="s">
        <v>1204</v>
      </c>
      <c r="R15" s="2564" t="s">
        <v>1192</v>
      </c>
      <c r="S15" s="2564" t="s">
        <v>1205</v>
      </c>
      <c r="T15" s="2565" t="s">
        <v>1206</v>
      </c>
      <c r="U15" s="2564" t="s">
        <v>1207</v>
      </c>
      <c r="V15" s="2564" t="s">
        <v>1196</v>
      </c>
      <c r="W15" s="2564" t="s">
        <v>1208</v>
      </c>
      <c r="X15" s="2565">
        <v>45357</v>
      </c>
      <c r="Y15" s="2562" t="s">
        <v>19</v>
      </c>
      <c r="Z15" s="1811"/>
      <c r="AA15" s="1795">
        <v>1</v>
      </c>
      <c r="AB15" s="3349" t="s">
        <v>22</v>
      </c>
      <c r="AC15" s="1639"/>
      <c r="AD15" s="1640" t="s">
        <v>1209</v>
      </c>
      <c r="AE15" s="1639"/>
    </row>
    <row customHeight="1" ht="45.75">
      <c r="A16" s="1170"/>
      <c r="B16" s="1170"/>
      <c r="C16" s="1170"/>
      <c r="D16" s="1164"/>
      <c r="E16" s="951"/>
      <c r="F16" s="2598" t="s">
        <v>102</v>
      </c>
      <c r="G16" s="2599"/>
      <c r="H16" s="2601"/>
      <c r="I16" s="2603"/>
      <c r="J16" s="2566"/>
      <c r="K16" s="2604"/>
      <c r="L16" s="2567" t="s">
        <v>1187</v>
      </c>
      <c r="M16" s="2567" t="s">
        <v>1201</v>
      </c>
      <c r="N16" s="2568"/>
      <c r="O16" s="2568"/>
      <c r="P16" s="2569"/>
      <c r="Q16" s="2564"/>
      <c r="R16" s="2564"/>
      <c r="S16" s="2564"/>
      <c r="T16" s="2566"/>
      <c r="U16" s="2564"/>
      <c r="V16" s="2564"/>
      <c r="W16" s="2564"/>
      <c r="X16" s="2566"/>
      <c r="Y16" s="2563"/>
      <c r="Z16" s="351"/>
      <c r="AA16" s="576"/>
      <c r="AB16" s="656" t="s">
        <v>1199</v>
      </c>
      <c r="AC16" s="1639"/>
      <c r="AD16" s="1639"/>
      <c r="AE16" s="1639"/>
    </row>
    <row customHeight="1" ht="54.75">
      <c r="A17" s="1170"/>
      <c r="B17" s="1170"/>
      <c r="C17" s="1170"/>
      <c r="D17" s="1164"/>
      <c r="E17" s="687" t="s">
        <v>103</v>
      </c>
      <c r="F17" s="2598" t="s">
        <v>89</v>
      </c>
      <c r="G17" s="2599" t="s">
        <v>1210</v>
      </c>
      <c r="H17" s="2600" t="s">
        <v>64</v>
      </c>
      <c r="I17" s="2602">
        <v>44111.519479166665</v>
      </c>
      <c r="J17" s="2565"/>
      <c r="K17" s="2604" t="s">
        <v>1186</v>
      </c>
      <c r="L17" s="2567" t="s">
        <v>1187</v>
      </c>
      <c r="M17" s="2567" t="s">
        <v>1211</v>
      </c>
      <c r="N17" s="2568" t="s">
        <v>1212</v>
      </c>
      <c r="O17" s="2568" t="s">
        <v>1213</v>
      </c>
      <c r="P17" s="2569" t="str">
        <f>DATEDIF(DATEVALUE(N17),DATEVALUE(O17),"y")&amp;"г. "&amp;DATEDIF(DATEVALUE(N17),DATEVALUE(O17),"ym")&amp;"мес. "&amp;DATEVALUE(O17)-DATE(YEAR(DATEVALUE(O17)),MONTH(DATEVALUE(O17)),1)&amp;"дн. "</f>
        <v>10г. 11мес. 30дн. </v>
      </c>
      <c r="Q17" s="2564" t="s">
        <v>1214</v>
      </c>
      <c r="R17" s="2564" t="s">
        <v>1192</v>
      </c>
      <c r="S17" s="2564" t="s">
        <v>1215</v>
      </c>
      <c r="T17" s="2565" t="s">
        <v>1216</v>
      </c>
      <c r="U17" s="2564" t="s">
        <v>1217</v>
      </c>
      <c r="V17" s="2564" t="s">
        <v>1196</v>
      </c>
      <c r="W17" s="2564" t="s">
        <v>1218</v>
      </c>
      <c r="X17" s="2565">
        <v>45370</v>
      </c>
      <c r="Y17" s="2562" t="s">
        <v>19</v>
      </c>
      <c r="Z17" s="1811"/>
      <c r="AA17" s="1795">
        <v>1</v>
      </c>
      <c r="AB17" s="3349" t="s">
        <v>22</v>
      </c>
      <c r="AC17" s="1639"/>
      <c r="AD17" s="1640" t="s">
        <v>1219</v>
      </c>
      <c r="AE17" s="1639"/>
    </row>
    <row customHeight="1" ht="54.75">
      <c r="A18" s="1170"/>
      <c r="B18" s="1170"/>
      <c r="C18" s="1170"/>
      <c r="D18" s="1164"/>
      <c r="E18" s="951"/>
      <c r="F18" s="2598" t="s">
        <v>89</v>
      </c>
      <c r="G18" s="2599"/>
      <c r="H18" s="2601"/>
      <c r="I18" s="2603"/>
      <c r="J18" s="2566"/>
      <c r="K18" s="2604"/>
      <c r="L18" s="2567" t="s">
        <v>1187</v>
      </c>
      <c r="M18" s="2567" t="s">
        <v>1211</v>
      </c>
      <c r="N18" s="2568"/>
      <c r="O18" s="2568"/>
      <c r="P18" s="2569"/>
      <c r="Q18" s="2564"/>
      <c r="R18" s="2564"/>
      <c r="S18" s="2564"/>
      <c r="T18" s="2566"/>
      <c r="U18" s="2564"/>
      <c r="V18" s="2564"/>
      <c r="W18" s="2564"/>
      <c r="X18" s="2566"/>
      <c r="Y18" s="2563"/>
      <c r="Z18" s="351"/>
      <c r="AA18" s="576"/>
      <c r="AB18" s="656" t="s">
        <v>1199</v>
      </c>
      <c r="AC18" s="1639"/>
      <c r="AD18" s="1639"/>
      <c r="AE18" s="1639"/>
    </row>
    <row customHeight="1" ht="53.25">
      <c r="A19" s="1170"/>
      <c r="B19" s="1170"/>
      <c r="C19" s="1170"/>
      <c r="D19" s="1164"/>
      <c r="E19" s="687" t="s">
        <v>103</v>
      </c>
      <c r="F19" s="2598" t="s">
        <v>90</v>
      </c>
      <c r="G19" s="2599" t="s">
        <v>1220</v>
      </c>
      <c r="H19" s="2600" t="s">
        <v>64</v>
      </c>
      <c r="I19" s="2602">
        <v>44111.519907407404</v>
      </c>
      <c r="J19" s="2565"/>
      <c r="K19" s="2604" t="s">
        <v>1186</v>
      </c>
      <c r="L19" s="2567" t="s">
        <v>1187</v>
      </c>
      <c r="M19" s="2567" t="s">
        <v>1211</v>
      </c>
      <c r="N19" s="2568" t="s">
        <v>1212</v>
      </c>
      <c r="O19" s="2568" t="s">
        <v>1190</v>
      </c>
      <c r="P19" s="2569" t="str">
        <f>DATEDIF(DATEVALUE(N19),DATEVALUE(O19),"y")&amp;"г. "&amp;DATEDIF(DATEVALUE(N19),DATEVALUE(O19),"ym")&amp;"мес. "&amp;DATEVALUE(O19)-DATE(YEAR(DATEVALUE(O19)),MONTH(DATEVALUE(O19)),1)&amp;"дн. "</f>
        <v>7г. 11мес. 30дн. </v>
      </c>
      <c r="Q19" s="2564" t="s">
        <v>1221</v>
      </c>
      <c r="R19" s="2564" t="s">
        <v>1192</v>
      </c>
      <c r="S19" s="2564" t="s">
        <v>1222</v>
      </c>
      <c r="T19" s="2565" t="s">
        <v>1216</v>
      </c>
      <c r="U19" s="2564" t="s">
        <v>1223</v>
      </c>
      <c r="V19" s="2564" t="s">
        <v>1196</v>
      </c>
      <c r="W19" s="2564" t="s">
        <v>1224</v>
      </c>
      <c r="X19" s="2565">
        <v>45350</v>
      </c>
      <c r="Y19" s="2562" t="s">
        <v>19</v>
      </c>
      <c r="Z19" s="1811"/>
      <c r="AA19" s="1795">
        <v>1</v>
      </c>
      <c r="AB19" s="3349" t="s">
        <v>22</v>
      </c>
      <c r="AC19" s="1639"/>
      <c r="AD19" s="1640" t="s">
        <v>1225</v>
      </c>
      <c r="AE19" s="1639"/>
    </row>
    <row customHeight="1" ht="53.25">
      <c r="A20" s="1170"/>
      <c r="B20" s="1170"/>
      <c r="C20" s="1170"/>
      <c r="D20" s="1164"/>
      <c r="E20" s="951"/>
      <c r="F20" s="2598" t="s">
        <v>90</v>
      </c>
      <c r="G20" s="2599"/>
      <c r="H20" s="2601"/>
      <c r="I20" s="2603"/>
      <c r="J20" s="2566"/>
      <c r="K20" s="2604"/>
      <c r="L20" s="2567" t="s">
        <v>1187</v>
      </c>
      <c r="M20" s="2567" t="s">
        <v>1211</v>
      </c>
      <c r="N20" s="2568"/>
      <c r="O20" s="2568"/>
      <c r="P20" s="2569"/>
      <c r="Q20" s="2564"/>
      <c r="R20" s="2564"/>
      <c r="S20" s="2564"/>
      <c r="T20" s="2566"/>
      <c r="U20" s="2564"/>
      <c r="V20" s="2564"/>
      <c r="W20" s="2564"/>
      <c r="X20" s="2566"/>
      <c r="Y20" s="2563"/>
      <c r="Z20" s="351"/>
      <c r="AA20" s="576"/>
      <c r="AB20" s="656" t="s">
        <v>1199</v>
      </c>
      <c r="AC20" s="1639"/>
      <c r="AD20" s="1639"/>
      <c r="AE20" s="1639"/>
    </row>
    <row customHeight="1" ht="50.25">
      <c r="A21" s="1170"/>
      <c r="B21" s="1170"/>
      <c r="C21" s="1170"/>
      <c r="D21" s="1164"/>
      <c r="E21" s="687" t="s">
        <v>103</v>
      </c>
      <c r="F21" s="2598" t="s">
        <v>120</v>
      </c>
      <c r="G21" s="2599" t="s">
        <v>1226</v>
      </c>
      <c r="H21" s="2600" t="s">
        <v>64</v>
      </c>
      <c r="I21" s="2602">
        <v>44111.520162037035</v>
      </c>
      <c r="J21" s="2565"/>
      <c r="K21" s="2604" t="s">
        <v>1186</v>
      </c>
      <c r="L21" s="2567" t="s">
        <v>1187</v>
      </c>
      <c r="M21" s="2567" t="s">
        <v>1227</v>
      </c>
      <c r="N21" s="2568" t="s">
        <v>1212</v>
      </c>
      <c r="O21" s="2568" t="s">
        <v>1190</v>
      </c>
      <c r="P21" s="2569" t="str">
        <f>DATEDIF(DATEVALUE(N21),DATEVALUE(O21),"y")&amp;"г. "&amp;DATEDIF(DATEVALUE(N21),DATEVALUE(O21),"ym")&amp;"мес. "&amp;DATEVALUE(O21)-DATE(YEAR(DATEVALUE(O21)),MONTH(DATEVALUE(O21)),1)&amp;"дн. "</f>
        <v>7г. 11мес. 30дн. </v>
      </c>
      <c r="Q21" s="2564" t="s">
        <v>1228</v>
      </c>
      <c r="R21" s="2564" t="s">
        <v>1192</v>
      </c>
      <c r="S21" s="2564" t="s">
        <v>1229</v>
      </c>
      <c r="T21" s="2565" t="s">
        <v>1216</v>
      </c>
      <c r="U21" s="2564" t="s">
        <v>1230</v>
      </c>
      <c r="V21" s="2564" t="s">
        <v>1196</v>
      </c>
      <c r="W21" s="2564" t="s">
        <v>1231</v>
      </c>
      <c r="X21" s="2565">
        <v>45357</v>
      </c>
      <c r="Y21" s="2562" t="s">
        <v>19</v>
      </c>
      <c r="Z21" s="1811"/>
      <c r="AA21" s="1795">
        <v>1</v>
      </c>
      <c r="AB21" s="3349" t="s">
        <v>22</v>
      </c>
      <c r="AC21" s="1639"/>
      <c r="AD21" s="1640" t="s">
        <v>1232</v>
      </c>
      <c r="AE21" s="1639"/>
    </row>
    <row customHeight="1" ht="50.25">
      <c r="A22" s="1170"/>
      <c r="B22" s="1170"/>
      <c r="C22" s="1170"/>
      <c r="D22" s="1164"/>
      <c r="E22" s="951"/>
      <c r="F22" s="2598" t="s">
        <v>120</v>
      </c>
      <c r="G22" s="2599"/>
      <c r="H22" s="2601"/>
      <c r="I22" s="2603"/>
      <c r="J22" s="2566"/>
      <c r="K22" s="2604"/>
      <c r="L22" s="2567" t="s">
        <v>1187</v>
      </c>
      <c r="M22" s="2567" t="s">
        <v>1227</v>
      </c>
      <c r="N22" s="2568"/>
      <c r="O22" s="2568"/>
      <c r="P22" s="2569"/>
      <c r="Q22" s="2564"/>
      <c r="R22" s="2564"/>
      <c r="S22" s="2564"/>
      <c r="T22" s="2566"/>
      <c r="U22" s="2564"/>
      <c r="V22" s="2564"/>
      <c r="W22" s="2564"/>
      <c r="X22" s="2566"/>
      <c r="Y22" s="2563"/>
      <c r="Z22" s="351"/>
      <c r="AA22" s="576"/>
      <c r="AB22" s="656" t="s">
        <v>1199</v>
      </c>
      <c r="AC22" s="1639"/>
      <c r="AD22" s="1639"/>
      <c r="AE22" s="1639"/>
    </row>
    <row customHeight="1" ht="53.25">
      <c r="A23" s="1170"/>
      <c r="B23" s="1170"/>
      <c r="C23" s="1170"/>
      <c r="D23" s="1164"/>
      <c r="E23" s="687" t="s">
        <v>103</v>
      </c>
      <c r="F23" s="2598" t="s">
        <v>91</v>
      </c>
      <c r="G23" s="2599" t="s">
        <v>1233</v>
      </c>
      <c r="H23" s="2600" t="s">
        <v>64</v>
      </c>
      <c r="I23" s="2602">
        <v>44111.52034722222</v>
      </c>
      <c r="J23" s="2565"/>
      <c r="K23" s="2604" t="s">
        <v>1186</v>
      </c>
      <c r="L23" s="2567" t="s">
        <v>1187</v>
      </c>
      <c r="M23" s="2567" t="s">
        <v>1234</v>
      </c>
      <c r="N23" s="2568" t="s">
        <v>1212</v>
      </c>
      <c r="O23" s="2568" t="s">
        <v>1190</v>
      </c>
      <c r="P23" s="2569" t="str">
        <f>DATEDIF(DATEVALUE(N23),DATEVALUE(O23),"y")&amp;"г. "&amp;DATEDIF(DATEVALUE(N23),DATEVALUE(O23),"ym")&amp;"мес. "&amp;DATEVALUE(O23)-DATE(YEAR(DATEVALUE(O23)),MONTH(DATEVALUE(O23)),1)&amp;"дн. "</f>
        <v>7г. 11мес. 30дн. </v>
      </c>
      <c r="Q23" s="2564" t="s">
        <v>1235</v>
      </c>
      <c r="R23" s="2564" t="s">
        <v>1192</v>
      </c>
      <c r="S23" s="2564" t="s">
        <v>1236</v>
      </c>
      <c r="T23" s="2565" t="s">
        <v>1216</v>
      </c>
      <c r="U23" s="2564" t="s">
        <v>1237</v>
      </c>
      <c r="V23" s="2564" t="s">
        <v>1196</v>
      </c>
      <c r="W23" s="2564" t="s">
        <v>1238</v>
      </c>
      <c r="X23" s="2565">
        <v>45350</v>
      </c>
      <c r="Y23" s="2562" t="s">
        <v>19</v>
      </c>
      <c r="Z23" s="1811"/>
      <c r="AA23" s="1795">
        <v>1</v>
      </c>
      <c r="AB23" s="3349" t="s">
        <v>22</v>
      </c>
      <c r="AC23" s="1639"/>
      <c r="AD23" s="1640" t="s">
        <v>1239</v>
      </c>
      <c r="AE23" s="1639"/>
    </row>
    <row customHeight="1" ht="53.25">
      <c r="A24" s="1170"/>
      <c r="B24" s="1170"/>
      <c r="C24" s="1170"/>
      <c r="D24" s="1164"/>
      <c r="E24" s="951"/>
      <c r="F24" s="2598" t="s">
        <v>91</v>
      </c>
      <c r="G24" s="2599"/>
      <c r="H24" s="2601"/>
      <c r="I24" s="2603"/>
      <c r="J24" s="2566"/>
      <c r="K24" s="2604"/>
      <c r="L24" s="2567" t="s">
        <v>1187</v>
      </c>
      <c r="M24" s="2567" t="s">
        <v>1234</v>
      </c>
      <c r="N24" s="2568"/>
      <c r="O24" s="2568"/>
      <c r="P24" s="2569"/>
      <c r="Q24" s="2564"/>
      <c r="R24" s="2564"/>
      <c r="S24" s="2564"/>
      <c r="T24" s="2566"/>
      <c r="U24" s="2564"/>
      <c r="V24" s="2564"/>
      <c r="W24" s="2564"/>
      <c r="X24" s="2566"/>
      <c r="Y24" s="2563"/>
      <c r="Z24" s="351"/>
      <c r="AA24" s="576"/>
      <c r="AB24" s="656" t="s">
        <v>1199</v>
      </c>
      <c r="AC24" s="1639"/>
      <c r="AD24" s="1639"/>
      <c r="AE24" s="1639"/>
    </row>
    <row customHeight="1" ht="51.75">
      <c r="A25" s="1170"/>
      <c r="B25" s="1170"/>
      <c r="C25" s="1170"/>
      <c r="D25" s="1164"/>
      <c r="E25" s="687" t="s">
        <v>103</v>
      </c>
      <c r="F25" s="2598" t="s">
        <v>92</v>
      </c>
      <c r="G25" s="2599" t="s">
        <v>1240</v>
      </c>
      <c r="H25" s="2600" t="s">
        <v>64</v>
      </c>
      <c r="I25" s="2602">
        <v>44111.520532407405</v>
      </c>
      <c r="J25" s="2565"/>
      <c r="K25" s="2604" t="s">
        <v>1186</v>
      </c>
      <c r="L25" s="2567" t="s">
        <v>1187</v>
      </c>
      <c r="M25" s="2567" t="s">
        <v>1211</v>
      </c>
      <c r="N25" s="2568" t="s">
        <v>1212</v>
      </c>
      <c r="O25" s="2568" t="s">
        <v>1241</v>
      </c>
      <c r="P25" s="2569" t="str">
        <f>DATEDIF(DATEVALUE(N25),DATEVALUE(O25),"y")&amp;"г. "&amp;DATEDIF(DATEVALUE(N25),DATEVALUE(O25),"ym")&amp;"мес. "&amp;DATEVALUE(O25)-DATE(YEAR(DATEVALUE(O25)),MONTH(DATEVALUE(O25)),1)&amp;"дн. "</f>
        <v>8г. 11мес. 30дн. </v>
      </c>
      <c r="Q25" s="2564" t="s">
        <v>1242</v>
      </c>
      <c r="R25" s="2564" t="s">
        <v>1192</v>
      </c>
      <c r="S25" s="2564" t="s">
        <v>1243</v>
      </c>
      <c r="T25" s="2565" t="s">
        <v>1216</v>
      </c>
      <c r="U25" s="2564" t="s">
        <v>1244</v>
      </c>
      <c r="V25" s="2564" t="s">
        <v>1196</v>
      </c>
      <c r="W25" s="2564" t="s">
        <v>1245</v>
      </c>
      <c r="X25" s="2565">
        <v>45370</v>
      </c>
      <c r="Y25" s="2562" t="s">
        <v>19</v>
      </c>
      <c r="Z25" s="1811"/>
      <c r="AA25" s="1795">
        <v>1</v>
      </c>
      <c r="AB25" s="3349" t="s">
        <v>22</v>
      </c>
      <c r="AC25" s="1639"/>
      <c r="AD25" s="1640" t="s">
        <v>1246</v>
      </c>
      <c r="AE25" s="1639"/>
    </row>
    <row customHeight="1" ht="51.75">
      <c r="A26" s="1170"/>
      <c r="B26" s="1170"/>
      <c r="C26" s="1170"/>
      <c r="D26" s="1164"/>
      <c r="E26" s="951"/>
      <c r="F26" s="2598" t="s">
        <v>92</v>
      </c>
      <c r="G26" s="2599"/>
      <c r="H26" s="2601"/>
      <c r="I26" s="2603"/>
      <c r="J26" s="2566"/>
      <c r="K26" s="2604"/>
      <c r="L26" s="2567" t="s">
        <v>1187</v>
      </c>
      <c r="M26" s="2567" t="s">
        <v>1211</v>
      </c>
      <c r="N26" s="2568"/>
      <c r="O26" s="2568"/>
      <c r="P26" s="2569"/>
      <c r="Q26" s="2564"/>
      <c r="R26" s="2564"/>
      <c r="S26" s="2564"/>
      <c r="T26" s="2566"/>
      <c r="U26" s="2564"/>
      <c r="V26" s="2564"/>
      <c r="W26" s="2564"/>
      <c r="X26" s="2566"/>
      <c r="Y26" s="2563"/>
      <c r="Z26" s="351"/>
      <c r="AA26" s="576"/>
      <c r="AB26" s="656" t="s">
        <v>1199</v>
      </c>
      <c r="AC26" s="1639"/>
      <c r="AD26" s="1639"/>
      <c r="AE26" s="1639"/>
    </row>
    <row customHeight="1" ht="27">
      <c r="A27" s="1170"/>
      <c r="B27" s="1170"/>
      <c r="C27" s="1170"/>
      <c r="D27" s="1164"/>
      <c r="E27" s="687" t="s">
        <v>103</v>
      </c>
      <c r="F27" s="2598" t="s">
        <v>133</v>
      </c>
      <c r="G27" s="2599" t="s">
        <v>1247</v>
      </c>
      <c r="H27" s="2600" t="s">
        <v>64</v>
      </c>
      <c r="I27" s="2602">
        <v>44112.520844907405</v>
      </c>
      <c r="J27" s="2565"/>
      <c r="K27" s="2604" t="s">
        <v>1186</v>
      </c>
      <c r="L27" s="2567" t="s">
        <v>1187</v>
      </c>
      <c r="M27" s="2567" t="s">
        <v>1211</v>
      </c>
      <c r="N27" s="2568" t="s">
        <v>1212</v>
      </c>
      <c r="O27" s="2568" t="s">
        <v>1190</v>
      </c>
      <c r="P27" s="2569" t="str">
        <f>DATEDIF(DATEVALUE(N27),DATEVALUE(O27),"y")&amp;"г. "&amp;DATEDIF(DATEVALUE(N27),DATEVALUE(O27),"ym")&amp;"мес. "&amp;DATEVALUE(O27)-DATE(YEAR(DATEVALUE(O27)),MONTH(DATEVALUE(O27)),1)&amp;"дн. "</f>
        <v>7г. 11мес. 30дн. </v>
      </c>
      <c r="Q27" s="2564" t="s">
        <v>1248</v>
      </c>
      <c r="R27" s="2564" t="s">
        <v>1192</v>
      </c>
      <c r="S27" s="2564" t="s">
        <v>1249</v>
      </c>
      <c r="T27" s="2565" t="s">
        <v>1250</v>
      </c>
      <c r="U27" s="2564" t="s">
        <v>1251</v>
      </c>
      <c r="V27" s="2564" t="s">
        <v>1196</v>
      </c>
      <c r="W27" s="2564" t="s">
        <v>1252</v>
      </c>
      <c r="X27" s="2565">
        <v>45370</v>
      </c>
      <c r="Y27" s="2562" t="s">
        <v>19</v>
      </c>
      <c r="Z27" s="1811"/>
      <c r="AA27" s="1795">
        <v>1</v>
      </c>
      <c r="AB27" s="3349" t="s">
        <v>22</v>
      </c>
      <c r="AC27" s="1639"/>
      <c r="AD27" s="1640" t="s">
        <v>1253</v>
      </c>
      <c r="AE27" s="1639"/>
    </row>
    <row customHeight="1" ht="96">
      <c r="A28" s="1170"/>
      <c r="B28" s="1170"/>
      <c r="C28" s="1170"/>
      <c r="D28" s="1164"/>
      <c r="E28" s="951"/>
      <c r="F28" s="2598" t="s">
        <v>133</v>
      </c>
      <c r="G28" s="2599"/>
      <c r="H28" s="2601"/>
      <c r="I28" s="2603"/>
      <c r="J28" s="2566"/>
      <c r="K28" s="2604"/>
      <c r="L28" s="2567" t="s">
        <v>1187</v>
      </c>
      <c r="M28" s="2567" t="s">
        <v>1211</v>
      </c>
      <c r="N28" s="2568"/>
      <c r="O28" s="2568"/>
      <c r="P28" s="2569"/>
      <c r="Q28" s="2564"/>
      <c r="R28" s="2564"/>
      <c r="S28" s="2564"/>
      <c r="T28" s="2566"/>
      <c r="U28" s="2564"/>
      <c r="V28" s="2564"/>
      <c r="W28" s="2564"/>
      <c r="X28" s="2566"/>
      <c r="Y28" s="2563"/>
      <c r="Z28" s="351"/>
      <c r="AA28" s="576"/>
      <c r="AB28" s="656" t="s">
        <v>1199</v>
      </c>
      <c r="AC28" s="1639"/>
      <c r="AD28" s="1639"/>
      <c r="AE28" s="1639"/>
    </row>
    <row customHeight="1" ht="27">
      <c r="A29" s="1170"/>
      <c r="B29" s="1170"/>
      <c r="C29" s="1170"/>
      <c r="D29" s="1164"/>
      <c r="E29" s="687" t="s">
        <v>103</v>
      </c>
      <c r="F29" s="2598" t="s">
        <v>148</v>
      </c>
      <c r="G29" s="2599" t="s">
        <v>1254</v>
      </c>
      <c r="H29" s="2600" t="s">
        <v>64</v>
      </c>
      <c r="I29" s="2602">
        <v>45222.52108796296</v>
      </c>
      <c r="J29" s="2565"/>
      <c r="K29" s="2604" t="s">
        <v>1186</v>
      </c>
      <c r="L29" s="2567" t="s">
        <v>1187</v>
      </c>
      <c r="M29" s="2567" t="s">
        <v>1255</v>
      </c>
      <c r="N29" s="2568" t="s">
        <v>1256</v>
      </c>
      <c r="O29" s="2568" t="s">
        <v>1203</v>
      </c>
      <c r="P29" s="2569" t="str">
        <f>DATEDIF(DATEVALUE(N29),DATEVALUE(O29),"y")&amp;"г. "&amp;DATEDIF(DATEVALUE(N29),DATEVALUE(O29),"ym")&amp;"мес. "&amp;DATEVALUE(O29)-DATE(YEAR(DATEVALUE(O29)),MONTH(DATEVALUE(O29)),1)&amp;"дн. "</f>
        <v>2г. 11мес. 30дн. </v>
      </c>
      <c r="Q29" s="2564" t="s">
        <v>1257</v>
      </c>
      <c r="R29" s="2564" t="s">
        <v>1192</v>
      </c>
      <c r="S29" s="2564" t="s">
        <v>1258</v>
      </c>
      <c r="T29" s="2565" t="s">
        <v>1259</v>
      </c>
      <c r="U29" s="2564"/>
      <c r="V29" s="2564" t="s">
        <v>1196</v>
      </c>
      <c r="W29" s="2564"/>
      <c r="X29" s="2565"/>
      <c r="Y29" s="2562" t="s">
        <v>19</v>
      </c>
      <c r="Z29" s="1811"/>
      <c r="AA29" s="1795">
        <v>1</v>
      </c>
      <c r="AB29" s="3349" t="s">
        <v>22</v>
      </c>
      <c r="AC29" s="1639"/>
      <c r="AD29" s="1640" t="s">
        <v>1260</v>
      </c>
      <c r="AE29" s="1639"/>
    </row>
    <row customHeight="1" ht="63">
      <c r="A30" s="1170"/>
      <c r="B30" s="1170"/>
      <c r="C30" s="1170"/>
      <c r="D30" s="1164"/>
      <c r="E30" s="951"/>
      <c r="F30" s="2598" t="s">
        <v>148</v>
      </c>
      <c r="G30" s="2599"/>
      <c r="H30" s="2601"/>
      <c r="I30" s="2603"/>
      <c r="J30" s="2566"/>
      <c r="K30" s="2604"/>
      <c r="L30" s="2567" t="s">
        <v>1187</v>
      </c>
      <c r="M30" s="2567" t="s">
        <v>1255</v>
      </c>
      <c r="N30" s="2568"/>
      <c r="O30" s="2568"/>
      <c r="P30" s="2569"/>
      <c r="Q30" s="2564"/>
      <c r="R30" s="2564"/>
      <c r="S30" s="2564"/>
      <c r="T30" s="2566"/>
      <c r="U30" s="2564"/>
      <c r="V30" s="2564"/>
      <c r="W30" s="2564"/>
      <c r="X30" s="2566"/>
      <c r="Y30" s="2563"/>
      <c r="Z30" s="351"/>
      <c r="AA30" s="576"/>
      <c r="AB30" s="656" t="s">
        <v>1199</v>
      </c>
      <c r="AC30" s="1639"/>
      <c r="AD30" s="1639"/>
      <c r="AE30" s="1639"/>
    </row>
    <row customHeight="1" ht="49.5">
      <c r="A31" s="1170"/>
      <c r="B31" s="1170"/>
      <c r="C31" s="1170"/>
      <c r="D31" s="1164"/>
      <c r="E31" s="687" t="s">
        <v>103</v>
      </c>
      <c r="F31" s="2598" t="s">
        <v>155</v>
      </c>
      <c r="G31" s="2599" t="s">
        <v>1261</v>
      </c>
      <c r="H31" s="2600" t="s">
        <v>64</v>
      </c>
      <c r="I31" s="2602">
        <v>43768.52127314815</v>
      </c>
      <c r="J31" s="2565"/>
      <c r="K31" s="2604" t="s">
        <v>1186</v>
      </c>
      <c r="L31" s="2567" t="s">
        <v>1187</v>
      </c>
      <c r="M31" s="2567" t="s">
        <v>1262</v>
      </c>
      <c r="N31" s="2568" t="s">
        <v>1263</v>
      </c>
      <c r="O31" s="2568" t="s">
        <v>1203</v>
      </c>
      <c r="P31" s="2569" t="str">
        <f>DATEDIF(DATEVALUE(N31),DATEVALUE(O31),"y")&amp;"г. "&amp;DATEDIF(DATEVALUE(N31),DATEVALUE(O31),"ym")&amp;"мес. "&amp;DATEVALUE(O31)-DATE(YEAR(DATEVALUE(O31)),MONTH(DATEVALUE(O31)),1)&amp;"дн. "</f>
        <v>6г. 11мес. 30дн. </v>
      </c>
      <c r="Q31" s="2564" t="s">
        <v>1264</v>
      </c>
      <c r="R31" s="2564" t="s">
        <v>1192</v>
      </c>
      <c r="S31" s="2564" t="s">
        <v>1265</v>
      </c>
      <c r="T31" s="2565" t="s">
        <v>1266</v>
      </c>
      <c r="U31" s="2564" t="s">
        <v>1267</v>
      </c>
      <c r="V31" s="2564" t="s">
        <v>1196</v>
      </c>
      <c r="W31" s="2564" t="s">
        <v>1268</v>
      </c>
      <c r="X31" s="2565">
        <v>45586</v>
      </c>
      <c r="Y31" s="2562" t="s">
        <v>19</v>
      </c>
      <c r="Z31" s="1811"/>
      <c r="AA31" s="1795">
        <v>1</v>
      </c>
      <c r="AB31" s="3349" t="s">
        <v>22</v>
      </c>
      <c r="AC31" s="1639"/>
      <c r="AD31" s="1640" t="s">
        <v>1269</v>
      </c>
      <c r="AE31" s="1639"/>
    </row>
    <row customHeight="1" ht="49.5">
      <c r="A32" s="1170"/>
      <c r="B32" s="1170"/>
      <c r="C32" s="1170"/>
      <c r="D32" s="1164"/>
      <c r="E32" s="951"/>
      <c r="F32" s="2598" t="s">
        <v>155</v>
      </c>
      <c r="G32" s="2599"/>
      <c r="H32" s="2601"/>
      <c r="I32" s="2603"/>
      <c r="J32" s="2566"/>
      <c r="K32" s="2604"/>
      <c r="L32" s="2567" t="s">
        <v>1187</v>
      </c>
      <c r="M32" s="2567" t="s">
        <v>1262</v>
      </c>
      <c r="N32" s="2568"/>
      <c r="O32" s="2568"/>
      <c r="P32" s="2569"/>
      <c r="Q32" s="2564"/>
      <c r="R32" s="2564"/>
      <c r="S32" s="2564"/>
      <c r="T32" s="2566"/>
      <c r="U32" s="2564"/>
      <c r="V32" s="2564"/>
      <c r="W32" s="2564"/>
      <c r="X32" s="2566"/>
      <c r="Y32" s="2563"/>
      <c r="Z32" s="351"/>
      <c r="AA32" s="576"/>
      <c r="AB32" s="656" t="s">
        <v>1199</v>
      </c>
      <c r="AC32" s="1639"/>
      <c r="AD32" s="1639"/>
      <c r="AE32" s="1639"/>
    </row>
    <row customHeight="1" ht="10.5">
      <c r="F33" s="906"/>
      <c r="G33" s="654" t="s">
        <v>1270</v>
      </c>
      <c r="H33" s="1172"/>
      <c r="I33" s="576"/>
      <c r="J33" s="576"/>
      <c r="K33" s="576"/>
      <c r="L33" s="576"/>
      <c r="M33" s="576"/>
      <c r="N33" s="576"/>
      <c r="O33" s="576"/>
      <c r="P33" s="576"/>
      <c r="Q33" s="576"/>
      <c r="R33" s="576"/>
      <c r="S33" s="576"/>
      <c r="T33" s="576"/>
      <c r="U33" s="576"/>
      <c r="V33" s="576"/>
      <c r="W33" s="576"/>
      <c r="X33" s="576"/>
      <c r="Y33" s="576"/>
      <c r="Z33" s="700"/>
      <c r="AA33" s="700"/>
      <c r="AB33" s="921"/>
      <c r="AE33" s="762">
        <v>10</v>
      </c>
    </row>
    <row customHeight="1" ht="10.5">
      <c r="AE34" s="762">
        <v>10</v>
      </c>
    </row>
    <row s="1646" customFormat="1" customHeight="1" ht="10.5">
      <c r="A35" s="1171"/>
      <c r="B35" s="1171"/>
      <c r="C35" s="1171"/>
      <c r="E35" s="522"/>
      <c r="H35" s="515">
        <f>_xlfn.IFERROR(MATCH("нет",IP_MAIN_DIFFERENTIATION_EVENTS_FLAG,0),0)</f>
        <v>0</v>
      </c>
      <c r="AE35" s="515">
        <v>10</v>
      </c>
    </row>
    <row customHeight="1" ht="10.5" hidden="1">
      <c r="A36" s="899" t="s">
        <v>81</v>
      </c>
      <c r="B36" s="899">
        <v>0</v>
      </c>
      <c r="C36" s="899">
        <v>0</v>
      </c>
      <c r="D36" s="421">
        <v>0</v>
      </c>
      <c r="E36" s="513">
        <v>3</v>
      </c>
      <c r="F36" s="762">
        <v>6</v>
      </c>
      <c r="G36" s="762">
        <v>37</v>
      </c>
      <c r="H36" s="1159">
        <v>16</v>
      </c>
      <c r="I36" s="762">
        <v>19</v>
      </c>
      <c r="J36" s="762">
        <v>19</v>
      </c>
      <c r="K36" s="762">
        <v>24</v>
      </c>
      <c r="L36" s="762">
        <v>25</v>
      </c>
      <c r="M36" s="762">
        <v>25</v>
      </c>
      <c r="N36" s="762">
        <v>17</v>
      </c>
      <c r="O36" s="762">
        <v>17</v>
      </c>
      <c r="P36" s="762">
        <v>17</v>
      </c>
      <c r="Q36" s="762">
        <v>19</v>
      </c>
      <c r="R36" s="762">
        <v>19</v>
      </c>
      <c r="S36" s="762">
        <v>19</v>
      </c>
      <c r="T36" s="762">
        <v>19</v>
      </c>
      <c r="U36" s="762">
        <v>19</v>
      </c>
      <c r="V36" s="762">
        <v>19</v>
      </c>
      <c r="W36" s="762">
        <v>19</v>
      </c>
      <c r="X36" s="762">
        <v>19</v>
      </c>
      <c r="Y36" s="762">
        <v>7</v>
      </c>
      <c r="Z36" s="762">
        <v>3</v>
      </c>
      <c r="AA36" s="762">
        <v>6</v>
      </c>
      <c r="AB36" s="762">
        <v>34</v>
      </c>
      <c r="AC36" s="762">
        <v>8</v>
      </c>
      <c r="AD36" s="762">
        <v>8</v>
      </c>
      <c r="AE36" s="762">
        <v>10</v>
      </c>
    </row>
  </sheetData>
  <sheetProtection formatColumns="0" formatRows="0" autoFilter="0" sort="0" insertRows="0" insertColumns="1" deleteRows="0" deleteColumns="0"/>
  <mergeCells count="22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Y13:Y14"/>
    <mergeCell ref="S13:S14"/>
    <mergeCell ref="T13:T14"/>
    <mergeCell ref="N13:N14"/>
    <mergeCell ref="O13:O14"/>
    <mergeCell ref="Q13:Q14"/>
    <mergeCell ref="R13:R14"/>
    <mergeCell ref="P13:P14"/>
    <mergeCell ref="E13:E14"/>
    <mergeCell ref="F15:F16"/>
    <mergeCell ref="G15:G16"/>
    <mergeCell ref="H15:H16"/>
    <mergeCell ref="I15:I16"/>
    <mergeCell ref="J15:J16"/>
    <mergeCell ref="K15:K16"/>
    <mergeCell ref="U15:U16"/>
    <mergeCell ref="V15:V16"/>
    <mergeCell ref="Y15:Y16"/>
    <mergeCell ref="S15:S16"/>
    <mergeCell ref="T15:T16"/>
    <mergeCell ref="N15:N16"/>
    <mergeCell ref="O15:O16"/>
    <mergeCell ref="Q15:Q16"/>
    <mergeCell ref="R15:R16"/>
    <mergeCell ref="W15:W16"/>
    <mergeCell ref="X15:X16"/>
    <mergeCell ref="P15:P16"/>
    <mergeCell ref="E15:E16"/>
    <mergeCell ref="F17:F18"/>
    <mergeCell ref="G17:G18"/>
    <mergeCell ref="H17:H18"/>
    <mergeCell ref="I17:I18"/>
    <mergeCell ref="J17:J18"/>
    <mergeCell ref="K17:K18"/>
    <mergeCell ref="U17:U18"/>
    <mergeCell ref="Y17:Y18"/>
    <mergeCell ref="S17:S18"/>
    <mergeCell ref="T17:T18"/>
    <mergeCell ref="N17:N18"/>
    <mergeCell ref="O17:O18"/>
    <mergeCell ref="Q17:Q18"/>
    <mergeCell ref="R17:R18"/>
    <mergeCell ref="W17:W18"/>
    <mergeCell ref="X17:X18"/>
    <mergeCell ref="P17:P18"/>
    <mergeCell ref="E17:E18"/>
    <mergeCell ref="F19:F20"/>
    <mergeCell ref="G19:G20"/>
    <mergeCell ref="H19:H20"/>
    <mergeCell ref="I19:I20"/>
    <mergeCell ref="J19:J20"/>
    <mergeCell ref="K19:K20"/>
    <mergeCell ref="U19:U20"/>
    <mergeCell ref="Y19:Y20"/>
    <mergeCell ref="S19:S20"/>
    <mergeCell ref="T19:T20"/>
    <mergeCell ref="N19:N20"/>
    <mergeCell ref="O19:O20"/>
    <mergeCell ref="Q19:Q20"/>
    <mergeCell ref="R19:R20"/>
    <mergeCell ref="W19:W20"/>
    <mergeCell ref="X19:X20"/>
    <mergeCell ref="P19:P20"/>
    <mergeCell ref="E19:E20"/>
    <mergeCell ref="F21:F22"/>
    <mergeCell ref="G21:G22"/>
    <mergeCell ref="H21:H22"/>
    <mergeCell ref="I21:I22"/>
    <mergeCell ref="J21:J22"/>
    <mergeCell ref="K21:K22"/>
    <mergeCell ref="U21:U22"/>
    <mergeCell ref="Y21:Y22"/>
    <mergeCell ref="S21:S22"/>
    <mergeCell ref="T21:T22"/>
    <mergeCell ref="N21:N22"/>
    <mergeCell ref="O21:O22"/>
    <mergeCell ref="Q21:Q22"/>
    <mergeCell ref="R21:R22"/>
    <mergeCell ref="W21:W22"/>
    <mergeCell ref="X21:X22"/>
    <mergeCell ref="P21:P22"/>
    <mergeCell ref="E21:E22"/>
    <mergeCell ref="F23:F24"/>
    <mergeCell ref="G23:G24"/>
    <mergeCell ref="H23:H24"/>
    <mergeCell ref="I23:I24"/>
    <mergeCell ref="J23:J24"/>
    <mergeCell ref="K23:K24"/>
    <mergeCell ref="U23:U24"/>
    <mergeCell ref="Y23:Y24"/>
    <mergeCell ref="S23:S24"/>
    <mergeCell ref="T23:T24"/>
    <mergeCell ref="N23:N24"/>
    <mergeCell ref="O23:O24"/>
    <mergeCell ref="Q23:Q24"/>
    <mergeCell ref="R23:R24"/>
    <mergeCell ref="W23:W24"/>
    <mergeCell ref="X23:X24"/>
    <mergeCell ref="P23:P24"/>
    <mergeCell ref="E23:E24"/>
    <mergeCell ref="F25:F26"/>
    <mergeCell ref="G25:G26"/>
    <mergeCell ref="H25:H26"/>
    <mergeCell ref="I25:I26"/>
    <mergeCell ref="J25:J26"/>
    <mergeCell ref="K25:K26"/>
    <mergeCell ref="U25:U26"/>
    <mergeCell ref="Y25:Y26"/>
    <mergeCell ref="S25:S26"/>
    <mergeCell ref="T25:T26"/>
    <mergeCell ref="N25:N26"/>
    <mergeCell ref="O25:O26"/>
    <mergeCell ref="Q25:Q26"/>
    <mergeCell ref="R25:R26"/>
    <mergeCell ref="W25:W26"/>
    <mergeCell ref="X25:X26"/>
    <mergeCell ref="P25:P26"/>
    <mergeCell ref="E25:E26"/>
    <mergeCell ref="F27:F28"/>
    <mergeCell ref="G27:G28"/>
    <mergeCell ref="H27:H28"/>
    <mergeCell ref="I27:I28"/>
    <mergeCell ref="J27:J28"/>
    <mergeCell ref="K27:K28"/>
    <mergeCell ref="U27:U28"/>
    <mergeCell ref="Y27:Y28"/>
    <mergeCell ref="S27:S28"/>
    <mergeCell ref="T27:T28"/>
    <mergeCell ref="N27:N28"/>
    <mergeCell ref="O27:O28"/>
    <mergeCell ref="Q27:Q28"/>
    <mergeCell ref="R27:R28"/>
    <mergeCell ref="W27:W28"/>
    <mergeCell ref="X27:X28"/>
    <mergeCell ref="P27:P28"/>
    <mergeCell ref="E27:E28"/>
    <mergeCell ref="F29:F30"/>
    <mergeCell ref="G29:G30"/>
    <mergeCell ref="H29:H30"/>
    <mergeCell ref="I29:I30"/>
    <mergeCell ref="J29:J30"/>
    <mergeCell ref="K29:K30"/>
    <mergeCell ref="U29:U30"/>
    <mergeCell ref="Y29:Y30"/>
    <mergeCell ref="S29:S30"/>
    <mergeCell ref="T29:T30"/>
    <mergeCell ref="N29:N30"/>
    <mergeCell ref="O29:O30"/>
    <mergeCell ref="Q29:Q30"/>
    <mergeCell ref="R29:R30"/>
    <mergeCell ref="W29:W30"/>
    <mergeCell ref="X29:X30"/>
    <mergeCell ref="P29:P30"/>
    <mergeCell ref="E29:E30"/>
    <mergeCell ref="F31:F32"/>
    <mergeCell ref="G31:G32"/>
    <mergeCell ref="H31:H32"/>
    <mergeCell ref="I31:I32"/>
    <mergeCell ref="J31:J32"/>
    <mergeCell ref="K31:K32"/>
    <mergeCell ref="U31:U32"/>
    <mergeCell ref="Y31:Y32"/>
    <mergeCell ref="S31:S32"/>
    <mergeCell ref="T31:T32"/>
    <mergeCell ref="N31:N32"/>
    <mergeCell ref="O31:O32"/>
    <mergeCell ref="Q31:Q32"/>
    <mergeCell ref="R31:R32"/>
    <mergeCell ref="W31:W32"/>
    <mergeCell ref="X31:X32"/>
    <mergeCell ref="P31:P32"/>
    <mergeCell ref="E31:E32"/>
    <mergeCell ref="V13:V14"/>
    <mergeCell ref="U13:U14"/>
    <mergeCell ref="W13:W14"/>
    <mergeCell ref="X13:X14"/>
    <mergeCell ref="V17:V18"/>
    <mergeCell ref="V19:V20"/>
    <mergeCell ref="V21:V22"/>
    <mergeCell ref="V23:V24"/>
    <mergeCell ref="V25:V26"/>
    <mergeCell ref="V27:V28"/>
    <mergeCell ref="V29:V30"/>
    <mergeCell ref="V31:V32"/>
  </mergeCells>
  <dataValidations count="150">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Title="Ввод" prompt="Для выбора ИП необходимо два раза нажать левую кнопку мыши!" sqref="G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S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U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W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Title="Ввод" prompt="Для выбора ИП необходимо два раза нажать левую кнопку мыши!" sqref="G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S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U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Title="Ввод" prompt="Для выбора ИП необходимо два раза нажать левую кнопку мыши!" sqref="G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S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U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Title="Ввод" prompt="Для выбора ИП необходимо два раза нажать левую кнопку мыши!" sqref="G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S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U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Title="Ввод" prompt="Для выбора ИП необходимо два раза нажать левую кнопку мыши!" sqref="G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S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U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Title="Ввод" prompt="Для выбора ИП необходимо два раза нажать левую кнопку мыши!" sqref="G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S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U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Title="Ввод" prompt="Для выбора ИП необходимо два раза нажать левую кнопку мыши!" sqref="G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S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U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Title="Ввод" prompt="Для выбора ИП необходимо два раза нажать левую кнопку мыши!" sqref="G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S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U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Title="Ввод" prompt="Для выбора ИП необходимо два раза нажать левую кнопку мыши!" sqref="G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1">
      <formula1>"a"</formula1>
    </dataValidation>
    <dataValidation type="textLength" operator="lessThanOrEqual" allowBlank="1" showInputMessage="1" showErrorMessage="1" errorTitle="Ошибка" error="Допускается ввод не более 900 символов!" sqref="L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Q31">
      <formula1>900</formula1>
    </dataValidation>
    <dataValidation type="textLength" operator="lessThanOrEqual" allowBlank="1" showInputMessage="1" showErrorMessage="1" errorTitle="Ошибка" error="Допускается ввод не более 900 символов!" sqref="R31">
      <formula1>900</formula1>
    </dataValidation>
    <dataValidation type="textLength" operator="lessThanOrEqual" allowBlank="1" showInputMessage="1" showErrorMessage="1" errorTitle="Ошибка" error="Допускается ввод не более 900 символов!" sqref="S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1"/>
    <dataValidation type="textLength" operator="lessThanOrEqual" allowBlank="1" showInputMessage="1" showErrorMessage="1" errorTitle="Ошибка" error="Допускается ввод не более 900 символов!" sqref="U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1"/>
    <dataValidation type="textLength" operator="lessThanOrEqual" allowBlank="1" showInputMessage="1" showErrorMessage="1" errorTitle="Ошибка" error="Допускается ввод не более 900 символов!" sqref="AB3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2A679-DA88-4A58-F448-FEE83C594952}" mc:Ignorable="x14ac xr xr2 xr3">
  <sheetPr>
    <tabColor theme="9" tint="-0.25"/>
  </sheetPr>
  <dimension ref="A1:BG581"/>
  <sheetViews>
    <sheetView showGridLines="0" zoomScale="90" workbookViewId="0">
      <pane xSplit="8" ySplit="12" topLeftCell="AD503" activePane="bottomRight" state="frozen"/>
      <selection pane="bottomLeft" activeCell="A13" sqref="A13"/>
      <selection pane="topRight" activeCell="I1" sqref="I1"/>
      <selection pane="bottomRight" activeCell="Y576" sqref="Y576"/>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КГУП "Примтеплоэнерго"</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438</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1271</v>
      </c>
      <c r="G9" s="2426" t="s">
        <v>1272</v>
      </c>
      <c r="H9" s="2427"/>
      <c r="I9" s="2144" t="s">
        <v>1273</v>
      </c>
      <c r="J9" s="2144"/>
      <c r="K9" s="2144" t="s">
        <v>1274</v>
      </c>
      <c r="L9" s="2144"/>
      <c r="M9" s="2144"/>
      <c r="N9" s="2144"/>
      <c r="O9" s="2144"/>
      <c r="P9" s="2144"/>
      <c r="Q9" s="2144"/>
      <c r="R9" s="2144"/>
      <c r="S9" s="2144"/>
      <c r="T9" s="2144"/>
      <c r="U9" s="2144"/>
      <c r="V9" s="2144"/>
      <c r="W9" s="2144"/>
      <c r="X9" s="2144"/>
      <c r="Y9" s="2144"/>
      <c r="Z9" s="2209" t="s">
        <v>1275</v>
      </c>
      <c r="AA9" s="2210"/>
      <c r="AB9" s="2144" t="s">
        <v>1276</v>
      </c>
      <c r="AC9" s="2144"/>
      <c r="AD9" s="2144"/>
      <c r="AE9" s="2144"/>
      <c r="AF9" s="2192" t="s">
        <v>1277</v>
      </c>
      <c r="AG9" s="2144" t="s">
        <v>1278</v>
      </c>
      <c r="AH9" s="2144"/>
      <c r="AI9" s="2192" t="s">
        <v>1279</v>
      </c>
      <c r="AJ9" s="2144" t="s">
        <v>1280</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1281</v>
      </c>
      <c r="L10" s="2118" t="s">
        <v>1282</v>
      </c>
      <c r="M10" s="2120"/>
      <c r="N10" s="2144" t="s">
        <v>1283</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1284</v>
      </c>
      <c r="M11" s="2192" t="s">
        <v>1285</v>
      </c>
      <c r="N11" s="2144" t="s">
        <v>1286</v>
      </c>
      <c r="O11" s="2144"/>
      <c r="P11" s="2435" t="s">
        <v>1182</v>
      </c>
      <c r="Q11" s="2435" t="s">
        <v>1287</v>
      </c>
      <c r="R11" s="2435" t="s">
        <v>1288</v>
      </c>
      <c r="S11" s="2435" t="s">
        <v>1289</v>
      </c>
      <c r="T11" s="2435"/>
      <c r="U11" s="2435"/>
      <c r="V11" s="2435"/>
      <c r="W11" s="2435"/>
      <c r="X11" s="2435"/>
      <c r="Y11" s="2435"/>
      <c r="Z11" s="2211"/>
      <c r="AA11" s="2212"/>
      <c r="AB11" s="2144" t="s">
        <v>1290</v>
      </c>
      <c r="AC11" s="2144"/>
      <c r="AD11" s="2118" t="s">
        <v>1291</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1292</v>
      </c>
      <c r="K12" s="2144"/>
      <c r="L12" s="2249"/>
      <c r="M12" s="2249"/>
      <c r="N12" s="2144"/>
      <c r="O12" s="2144"/>
      <c r="P12" s="2435"/>
      <c r="Q12" s="2435"/>
      <c r="R12" s="2435"/>
      <c r="S12" s="1138" t="s">
        <v>85</v>
      </c>
      <c r="T12" s="1138" t="s">
        <v>86</v>
      </c>
      <c r="U12" s="1138" t="s">
        <v>84</v>
      </c>
      <c r="V12" s="1138" t="s">
        <v>1293</v>
      </c>
      <c r="W12" s="1138" t="s">
        <v>84</v>
      </c>
      <c r="X12" s="1138" t="s">
        <v>1294</v>
      </c>
      <c r="Y12" s="1138" t="s">
        <v>1295</v>
      </c>
      <c r="Z12" s="2217"/>
      <c r="AA12" s="2218"/>
      <c r="AB12" s="1145" t="s">
        <v>1296</v>
      </c>
      <c r="AC12" s="1145" t="s">
        <v>1297</v>
      </c>
      <c r="AD12" s="1145" t="s">
        <v>1296</v>
      </c>
      <c r="AE12" s="1145" t="s">
        <v>1297</v>
      </c>
      <c r="AF12" s="2249"/>
      <c r="AG12" s="1158" t="s">
        <v>1298</v>
      </c>
      <c r="AH12" s="1158" t="s">
        <v>1299</v>
      </c>
      <c r="AI12" s="2249"/>
      <c r="AJ12" s="1158" t="s">
        <v>1298</v>
      </c>
      <c r="AK12" s="1158" t="s">
        <v>1299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1198</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89"/>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9"/>
    </row>
    <row customHeight="1" ht="0.75">
      <c r="A15" s="1170" t="s">
        <v>1198</v>
      </c>
      <c r="B15" s="1170"/>
      <c r="C15" s="1170"/>
      <c r="D15" s="1164"/>
      <c r="E15" s="1174"/>
      <c r="F15" s="2553">
        <v>2022</v>
      </c>
      <c r="G15" s="2532"/>
      <c r="H15" s="2557" t="s">
        <v>514</v>
      </c>
      <c r="I15" s="2558"/>
      <c r="J15" s="2559"/>
      <c r="K15" s="2559"/>
      <c r="L15" s="2551"/>
      <c r="M15" s="2285"/>
      <c r="N15" s="2037"/>
      <c r="O15" s="2036"/>
      <c r="P15" s="2037"/>
      <c r="Q15" s="2037"/>
      <c r="R15" s="2037"/>
      <c r="S15" s="2037"/>
      <c r="T15" s="2037"/>
      <c r="U15" s="2037"/>
      <c r="V15" s="2037"/>
      <c r="W15" s="2037"/>
      <c r="X15" s="2037"/>
      <c r="Y15" s="2037"/>
      <c r="Z15" s="2037"/>
      <c r="AA15" s="2037"/>
      <c r="AB15" s="2037"/>
      <c r="AC15" s="2037"/>
      <c r="AD15" s="2037"/>
      <c r="AE15" s="2037"/>
      <c r="AF15" s="2555"/>
      <c r="AG15" s="2551"/>
      <c r="AH15" s="2551"/>
      <c r="AI15" s="2555"/>
      <c r="AJ15" s="2551"/>
      <c r="AK15" s="2551"/>
      <c r="AL15" s="1989"/>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9"/>
    </row>
    <row customHeight="1" ht="0.75">
      <c r="A16" s="1170" t="s">
        <v>1198</v>
      </c>
      <c r="B16" s="1170"/>
      <c r="C16" s="1170"/>
      <c r="D16" s="1164"/>
      <c r="E16" s="1174"/>
      <c r="F16" s="2553"/>
      <c r="G16" s="2532"/>
      <c r="H16" s="2557"/>
      <c r="I16" s="2558"/>
      <c r="J16" s="2559"/>
      <c r="K16" s="2559"/>
      <c r="L16" s="2551"/>
      <c r="M16" s="2285"/>
      <c r="N16" s="2560"/>
      <c r="O16" s="2561"/>
      <c r="P16" s="2605"/>
      <c r="Q16" s="2556"/>
      <c r="R16" s="2556"/>
      <c r="S16" s="2556"/>
      <c r="T16" s="2556"/>
      <c r="U16" s="2556"/>
      <c r="V16" s="2556"/>
      <c r="W16" s="2556"/>
      <c r="X16" s="2556"/>
      <c r="Y16" s="2556"/>
      <c r="Z16" s="2038"/>
      <c r="AA16" s="2039"/>
      <c r="AB16" s="2039"/>
      <c r="AC16" s="2040"/>
      <c r="AD16" s="2040"/>
      <c r="AE16" s="2041"/>
      <c r="AF16" s="2555"/>
      <c r="AG16" s="2551"/>
      <c r="AH16" s="2551"/>
      <c r="AI16" s="2555"/>
      <c r="AJ16" s="2551"/>
      <c r="AK16" s="2551"/>
      <c r="AL16" s="1989"/>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9"/>
    </row>
    <row customHeight="1" ht="0.75">
      <c r="A17" s="1170" t="s">
        <v>1198</v>
      </c>
      <c r="B17" s="1170"/>
      <c r="C17" s="1170"/>
      <c r="D17" s="1164"/>
      <c r="E17" s="1174"/>
      <c r="F17" s="2553"/>
      <c r="G17" s="2532"/>
      <c r="H17" s="2557"/>
      <c r="I17" s="2558"/>
      <c r="J17" s="2559"/>
      <c r="K17" s="2559"/>
      <c r="L17" s="2551"/>
      <c r="M17" s="2285"/>
      <c r="N17" s="2560"/>
      <c r="O17" s="2561"/>
      <c r="P17" s="2606"/>
      <c r="Q17" s="2556"/>
      <c r="R17" s="2556"/>
      <c r="S17" s="2556"/>
      <c r="T17" s="2556"/>
      <c r="U17" s="2556"/>
      <c r="V17" s="2556"/>
      <c r="W17" s="2556"/>
      <c r="X17" s="2556"/>
      <c r="Y17" s="2556"/>
      <c r="Z17" s="2042"/>
      <c r="AA17" s="2043"/>
      <c r="AB17" s="2044"/>
      <c r="AC17" s="2045"/>
      <c r="AD17" s="2044"/>
      <c r="AE17" s="2045"/>
      <c r="AF17" s="2555"/>
      <c r="AG17" s="2551"/>
      <c r="AH17" s="2551"/>
      <c r="AI17" s="2555"/>
      <c r="AJ17" s="2551"/>
      <c r="AK17" s="2551"/>
      <c r="AL17" s="1989"/>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9"/>
    </row>
    <row customHeight="1" ht="0.75">
      <c r="A18" s="1170" t="s">
        <v>1198</v>
      </c>
      <c r="B18" s="1170"/>
      <c r="C18" s="1170"/>
      <c r="D18" s="1164"/>
      <c r="E18" s="1174"/>
      <c r="F18" s="2553"/>
      <c r="G18" s="2532"/>
      <c r="H18" s="2557"/>
      <c r="I18" s="2558"/>
      <c r="J18" s="2559"/>
      <c r="K18" s="2559"/>
      <c r="L18" s="2551"/>
      <c r="M18" s="2285"/>
      <c r="N18" s="2560"/>
      <c r="O18" s="2561"/>
      <c r="P18" s="2607"/>
      <c r="Q18" s="2556"/>
      <c r="R18" s="2556"/>
      <c r="S18" s="2556"/>
      <c r="T18" s="2556"/>
      <c r="U18" s="2556"/>
      <c r="V18" s="2556"/>
      <c r="W18" s="2556"/>
      <c r="X18" s="2556"/>
      <c r="Y18" s="2556"/>
      <c r="Z18" s="2038"/>
      <c r="AA18" s="2039"/>
      <c r="AB18" s="2046"/>
      <c r="AC18" s="2040"/>
      <c r="AD18" s="2040"/>
      <c r="AE18" s="2047"/>
      <c r="AF18" s="2555"/>
      <c r="AG18" s="2551"/>
      <c r="AH18" s="2551"/>
      <c r="AI18" s="2555"/>
      <c r="AJ18" s="2551"/>
      <c r="AK18" s="2551"/>
      <c r="AL18" s="1989"/>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9"/>
    </row>
    <row customHeight="1" ht="0.75">
      <c r="A19" s="1170" t="s">
        <v>1198</v>
      </c>
      <c r="B19" s="1170"/>
      <c r="C19" s="1170"/>
      <c r="D19" s="1164"/>
      <c r="E19" s="1174"/>
      <c r="F19" s="2553"/>
      <c r="G19" s="2532"/>
      <c r="H19" s="2557"/>
      <c r="I19" s="2558"/>
      <c r="J19" s="2559"/>
      <c r="K19" s="2559"/>
      <c r="L19" s="2551"/>
      <c r="M19" s="2285"/>
      <c r="N19" s="2039"/>
      <c r="O19" s="2039"/>
      <c r="P19" s="2046"/>
      <c r="Q19" s="2039"/>
      <c r="R19" s="2039"/>
      <c r="S19" s="2039"/>
      <c r="T19" s="2039"/>
      <c r="U19" s="2039"/>
      <c r="V19" s="2039"/>
      <c r="W19" s="2039"/>
      <c r="X19" s="2039"/>
      <c r="Y19" s="2039"/>
      <c r="Z19" s="2039"/>
      <c r="AA19" s="2039"/>
      <c r="AB19" s="2039"/>
      <c r="AC19" s="2039"/>
      <c r="AD19" s="2039"/>
      <c r="AE19" s="2048"/>
      <c r="AF19" s="2555"/>
      <c r="AG19" s="2551"/>
      <c r="AH19" s="2551"/>
      <c r="AI19" s="2555"/>
      <c r="AJ19" s="2551"/>
      <c r="AK19" s="2551"/>
      <c r="AL19" s="1989"/>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9"/>
    </row>
    <row customHeight="1" ht="12">
      <c r="A20" s="1170" t="s">
        <v>1198</v>
      </c>
      <c r="B20" s="1170"/>
      <c r="C20" s="1170"/>
      <c r="D20" s="1164"/>
      <c r="E20" s="1174"/>
      <c r="F20" s="2554"/>
      <c r="G20" s="1194"/>
      <c r="H20" s="1194"/>
      <c r="I20" s="2552" t="s">
        <v>1300</v>
      </c>
      <c r="J20" s="2552"/>
      <c r="K20" s="2552"/>
      <c r="L20" s="1177"/>
      <c r="M20" s="1177"/>
      <c r="N20" s="1178"/>
      <c r="O20" s="1178"/>
      <c r="P20" s="1178"/>
      <c r="Q20" s="1178"/>
      <c r="R20" s="1178"/>
      <c r="S20" s="1178"/>
      <c r="T20" s="1178"/>
      <c r="U20" s="1178"/>
      <c r="V20" s="1178"/>
      <c r="W20" s="1178"/>
      <c r="X20" s="1178"/>
      <c r="Y20" s="1178"/>
      <c r="Z20" s="1178"/>
      <c r="AA20" s="1178"/>
      <c r="AB20" s="1178"/>
      <c r="AC20" s="1178"/>
      <c r="AD20" s="1178"/>
      <c r="AE20" s="1178"/>
      <c r="AF20" s="1178"/>
      <c r="AG20" s="1177"/>
      <c r="AH20" s="1177"/>
      <c r="AI20" s="1178"/>
      <c r="AJ20" s="1177"/>
      <c r="AK20" s="1178"/>
      <c r="AL20" s="1989"/>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9"/>
    </row>
    <row customHeight="1" ht="0.75">
      <c r="A21" s="1170" t="s">
        <v>1198</v>
      </c>
      <c r="B21" s="1170"/>
      <c r="C21" s="1170"/>
      <c r="D21" s="1164"/>
      <c r="E21" s="1174"/>
      <c r="F21" s="2553">
        <v>2023</v>
      </c>
      <c r="G21" s="2532"/>
      <c r="H21" s="2557" t="s">
        <v>514</v>
      </c>
      <c r="I21" s="2558"/>
      <c r="J21" s="2559"/>
      <c r="K21" s="2559"/>
      <c r="L21" s="2551"/>
      <c r="M21" s="2285"/>
      <c r="N21" s="2037"/>
      <c r="O21" s="2036"/>
      <c r="P21" s="2037"/>
      <c r="Q21" s="2037"/>
      <c r="R21" s="2037"/>
      <c r="S21" s="2037"/>
      <c r="T21" s="2037"/>
      <c r="U21" s="2037"/>
      <c r="V21" s="2037"/>
      <c r="W21" s="2037"/>
      <c r="X21" s="2037"/>
      <c r="Y21" s="2037"/>
      <c r="Z21" s="2037"/>
      <c r="AA21" s="2037"/>
      <c r="AB21" s="2037"/>
      <c r="AC21" s="2037"/>
      <c r="AD21" s="2037"/>
      <c r="AE21" s="2037"/>
      <c r="AF21" s="2555"/>
      <c r="AG21" s="2551"/>
      <c r="AH21" s="2551"/>
      <c r="AI21" s="2555"/>
      <c r="AJ21" s="2551"/>
      <c r="AK21" s="2551"/>
      <c r="AL21" s="1989"/>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9"/>
    </row>
    <row customHeight="1" ht="0.75">
      <c r="A22" s="1170" t="s">
        <v>1198</v>
      </c>
      <c r="B22" s="1170"/>
      <c r="C22" s="1170"/>
      <c r="D22" s="1164"/>
      <c r="E22" s="1174"/>
      <c r="F22" s="2553"/>
      <c r="G22" s="2532"/>
      <c r="H22" s="2557"/>
      <c r="I22" s="2558"/>
      <c r="J22" s="2559"/>
      <c r="K22" s="2559"/>
      <c r="L22" s="2551"/>
      <c r="M22" s="2285"/>
      <c r="N22" s="2560"/>
      <c r="O22" s="2561"/>
      <c r="P22" s="2605"/>
      <c r="Q22" s="2556"/>
      <c r="R22" s="2556"/>
      <c r="S22" s="2556"/>
      <c r="T22" s="2556"/>
      <c r="U22" s="2556"/>
      <c r="V22" s="2556"/>
      <c r="W22" s="2556"/>
      <c r="X22" s="2556"/>
      <c r="Y22" s="2556"/>
      <c r="Z22" s="2038"/>
      <c r="AA22" s="2039"/>
      <c r="AB22" s="2039"/>
      <c r="AC22" s="2040"/>
      <c r="AD22" s="2040"/>
      <c r="AE22" s="2041"/>
      <c r="AF22" s="2555"/>
      <c r="AG22" s="2551"/>
      <c r="AH22" s="2551"/>
      <c r="AI22" s="2555"/>
      <c r="AJ22" s="2551"/>
      <c r="AK22" s="2551"/>
      <c r="AL22" s="1989"/>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9"/>
    </row>
    <row customHeight="1" ht="0.75">
      <c r="A23" s="1170" t="s">
        <v>1198</v>
      </c>
      <c r="B23" s="1170"/>
      <c r="C23" s="1170"/>
      <c r="D23" s="1164"/>
      <c r="E23" s="1174"/>
      <c r="F23" s="2553"/>
      <c r="G23" s="2532"/>
      <c r="H23" s="2557"/>
      <c r="I23" s="2558"/>
      <c r="J23" s="2559"/>
      <c r="K23" s="2559"/>
      <c r="L23" s="2551"/>
      <c r="M23" s="2285"/>
      <c r="N23" s="2560"/>
      <c r="O23" s="2561"/>
      <c r="P23" s="2606"/>
      <c r="Q23" s="2556"/>
      <c r="R23" s="2556"/>
      <c r="S23" s="2556"/>
      <c r="T23" s="2556"/>
      <c r="U23" s="2556"/>
      <c r="V23" s="2556"/>
      <c r="W23" s="2556"/>
      <c r="X23" s="2556"/>
      <c r="Y23" s="2556"/>
      <c r="Z23" s="2042"/>
      <c r="AA23" s="2043"/>
      <c r="AB23" s="2044"/>
      <c r="AC23" s="2045"/>
      <c r="AD23" s="2044"/>
      <c r="AE23" s="2045"/>
      <c r="AF23" s="2555"/>
      <c r="AG23" s="2551"/>
      <c r="AH23" s="2551"/>
      <c r="AI23" s="2555"/>
      <c r="AJ23" s="2551"/>
      <c r="AK23" s="2551"/>
      <c r="AL23" s="1989"/>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9"/>
    </row>
    <row customHeight="1" ht="0.75">
      <c r="A24" s="1170" t="s">
        <v>1198</v>
      </c>
      <c r="B24" s="1170"/>
      <c r="C24" s="1170"/>
      <c r="D24" s="1164"/>
      <c r="E24" s="1174"/>
      <c r="F24" s="2553"/>
      <c r="G24" s="2532"/>
      <c r="H24" s="2557"/>
      <c r="I24" s="2558"/>
      <c r="J24" s="2559"/>
      <c r="K24" s="2559"/>
      <c r="L24" s="2551"/>
      <c r="M24" s="2285"/>
      <c r="N24" s="2560"/>
      <c r="O24" s="2561"/>
      <c r="P24" s="2607"/>
      <c r="Q24" s="2556"/>
      <c r="R24" s="2556"/>
      <c r="S24" s="2556"/>
      <c r="T24" s="2556"/>
      <c r="U24" s="2556"/>
      <c r="V24" s="2556"/>
      <c r="W24" s="2556"/>
      <c r="X24" s="2556"/>
      <c r="Y24" s="2556"/>
      <c r="Z24" s="2038"/>
      <c r="AA24" s="2039"/>
      <c r="AB24" s="2046"/>
      <c r="AC24" s="2040"/>
      <c r="AD24" s="2040"/>
      <c r="AE24" s="2047"/>
      <c r="AF24" s="2555"/>
      <c r="AG24" s="2551"/>
      <c r="AH24" s="2551"/>
      <c r="AI24" s="2555"/>
      <c r="AJ24" s="2551"/>
      <c r="AK24" s="2551"/>
      <c r="AL24" s="1989"/>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9"/>
    </row>
    <row customHeight="1" ht="0.75">
      <c r="A25" s="1170" t="s">
        <v>1198</v>
      </c>
      <c r="B25" s="1170"/>
      <c r="C25" s="1170"/>
      <c r="D25" s="1164"/>
      <c r="E25" s="1174"/>
      <c r="F25" s="2553"/>
      <c r="G25" s="2532"/>
      <c r="H25" s="2557"/>
      <c r="I25" s="2558"/>
      <c r="J25" s="2559"/>
      <c r="K25" s="2559"/>
      <c r="L25" s="2551"/>
      <c r="M25" s="2285"/>
      <c r="N25" s="2039"/>
      <c r="O25" s="2039"/>
      <c r="P25" s="2046"/>
      <c r="Q25" s="2039"/>
      <c r="R25" s="2039"/>
      <c r="S25" s="2039"/>
      <c r="T25" s="2039"/>
      <c r="U25" s="2039"/>
      <c r="V25" s="2039"/>
      <c r="W25" s="2039"/>
      <c r="X25" s="2039"/>
      <c r="Y25" s="2039"/>
      <c r="Z25" s="2039"/>
      <c r="AA25" s="2039"/>
      <c r="AB25" s="2039"/>
      <c r="AC25" s="2039"/>
      <c r="AD25" s="2039"/>
      <c r="AE25" s="2048"/>
      <c r="AF25" s="2555"/>
      <c r="AG25" s="2551"/>
      <c r="AH25" s="2551"/>
      <c r="AI25" s="2555"/>
      <c r="AJ25" s="2551"/>
      <c r="AK25" s="2551"/>
      <c r="AL25" s="1989"/>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9"/>
    </row>
    <row customHeight="1" ht="12">
      <c r="A26" s="1170" t="s">
        <v>1198</v>
      </c>
      <c r="B26" s="1170"/>
      <c r="C26" s="1170"/>
      <c r="D26" s="1164"/>
      <c r="E26" s="1174"/>
      <c r="F26" s="2554"/>
      <c r="G26" s="1194"/>
      <c r="H26" s="1194"/>
      <c r="I26" s="2552" t="s">
        <v>1300</v>
      </c>
      <c r="J26" s="2552"/>
      <c r="K26" s="2552"/>
      <c r="L26" s="1177"/>
      <c r="M26" s="1177"/>
      <c r="N26" s="1178"/>
      <c r="O26" s="1178"/>
      <c r="P26" s="1178"/>
      <c r="Q26" s="1178"/>
      <c r="R26" s="1178"/>
      <c r="S26" s="1178"/>
      <c r="T26" s="1178"/>
      <c r="U26" s="1178"/>
      <c r="V26" s="1178"/>
      <c r="W26" s="1178"/>
      <c r="X26" s="1178"/>
      <c r="Y26" s="1178"/>
      <c r="Z26" s="1178"/>
      <c r="AA26" s="1178"/>
      <c r="AB26" s="1178"/>
      <c r="AC26" s="1178"/>
      <c r="AD26" s="1178"/>
      <c r="AE26" s="1178"/>
      <c r="AF26" s="1178"/>
      <c r="AG26" s="1177"/>
      <c r="AH26" s="1177"/>
      <c r="AI26" s="1178"/>
      <c r="AJ26" s="1177"/>
      <c r="AK26" s="1178"/>
      <c r="AL26" s="1989"/>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9"/>
    </row>
    <row customHeight="1" ht="0.75">
      <c r="A27" s="1170" t="s">
        <v>1198</v>
      </c>
      <c r="B27" s="1170"/>
      <c r="C27" s="1170"/>
      <c r="D27" s="1164"/>
      <c r="E27" s="1174"/>
      <c r="F27" s="2553">
        <v>2024</v>
      </c>
      <c r="G27" s="2532"/>
      <c r="H27" s="2557" t="s">
        <v>514</v>
      </c>
      <c r="I27" s="2558"/>
      <c r="J27" s="2559"/>
      <c r="K27" s="2559"/>
      <c r="L27" s="2551"/>
      <c r="M27" s="2285"/>
      <c r="N27" s="2037"/>
      <c r="O27" s="2036"/>
      <c r="P27" s="2037"/>
      <c r="Q27" s="2037"/>
      <c r="R27" s="2037"/>
      <c r="S27" s="2037"/>
      <c r="T27" s="2037"/>
      <c r="U27" s="2037"/>
      <c r="V27" s="2037"/>
      <c r="W27" s="2037"/>
      <c r="X27" s="2037"/>
      <c r="Y27" s="2037"/>
      <c r="Z27" s="2037"/>
      <c r="AA27" s="2037"/>
      <c r="AB27" s="2037"/>
      <c r="AC27" s="2037"/>
      <c r="AD27" s="2037"/>
      <c r="AE27" s="2037"/>
      <c r="AF27" s="2555"/>
      <c r="AG27" s="2551"/>
      <c r="AH27" s="2551"/>
      <c r="AI27" s="2555"/>
      <c r="AJ27" s="2551"/>
      <c r="AK27" s="2551"/>
      <c r="AL27" s="1989"/>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9"/>
    </row>
    <row customHeight="1" ht="0.75">
      <c r="A28" s="1170" t="s">
        <v>1198</v>
      </c>
      <c r="B28" s="1170"/>
      <c r="C28" s="1170"/>
      <c r="D28" s="1164"/>
      <c r="E28" s="1174"/>
      <c r="F28" s="2553"/>
      <c r="G28" s="2532"/>
      <c r="H28" s="2557"/>
      <c r="I28" s="2558"/>
      <c r="J28" s="2559"/>
      <c r="K28" s="2559"/>
      <c r="L28" s="2551"/>
      <c r="M28" s="2285"/>
      <c r="N28" s="2560"/>
      <c r="O28" s="2561"/>
      <c r="P28" s="2605"/>
      <c r="Q28" s="2556"/>
      <c r="R28" s="2556"/>
      <c r="S28" s="2556"/>
      <c r="T28" s="2556"/>
      <c r="U28" s="2556"/>
      <c r="V28" s="2556"/>
      <c r="W28" s="2556"/>
      <c r="X28" s="2556"/>
      <c r="Y28" s="2556"/>
      <c r="Z28" s="2038"/>
      <c r="AA28" s="2039"/>
      <c r="AB28" s="2039"/>
      <c r="AC28" s="2040"/>
      <c r="AD28" s="2040"/>
      <c r="AE28" s="2041"/>
      <c r="AF28" s="2555"/>
      <c r="AG28" s="2551"/>
      <c r="AH28" s="2551"/>
      <c r="AI28" s="2555"/>
      <c r="AJ28" s="2551"/>
      <c r="AK28" s="2551"/>
      <c r="AL28" s="1989"/>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9"/>
    </row>
    <row customHeight="1" ht="0.75">
      <c r="A29" s="1170" t="s">
        <v>1198</v>
      </c>
      <c r="B29" s="1170"/>
      <c r="C29" s="1170"/>
      <c r="D29" s="1164"/>
      <c r="E29" s="1174"/>
      <c r="F29" s="2553"/>
      <c r="G29" s="2532"/>
      <c r="H29" s="2557"/>
      <c r="I29" s="2558"/>
      <c r="J29" s="2559"/>
      <c r="K29" s="2559"/>
      <c r="L29" s="2551"/>
      <c r="M29" s="2285"/>
      <c r="N29" s="2560"/>
      <c r="O29" s="2561"/>
      <c r="P29" s="2606"/>
      <c r="Q29" s="2556"/>
      <c r="R29" s="2556"/>
      <c r="S29" s="2556"/>
      <c r="T29" s="2556"/>
      <c r="U29" s="2556"/>
      <c r="V29" s="2556"/>
      <c r="W29" s="2556"/>
      <c r="X29" s="2556"/>
      <c r="Y29" s="2556"/>
      <c r="Z29" s="2042"/>
      <c r="AA29" s="2043"/>
      <c r="AB29" s="2044"/>
      <c r="AC29" s="2045"/>
      <c r="AD29" s="2044"/>
      <c r="AE29" s="2045"/>
      <c r="AF29" s="2555"/>
      <c r="AG29" s="2551"/>
      <c r="AH29" s="2551"/>
      <c r="AI29" s="2555"/>
      <c r="AJ29" s="2551"/>
      <c r="AK29" s="2551"/>
      <c r="AL29" s="1989"/>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9"/>
    </row>
    <row customHeight="1" ht="0.75">
      <c r="A30" s="1170" t="s">
        <v>1198</v>
      </c>
      <c r="B30" s="1170"/>
      <c r="C30" s="1170"/>
      <c r="D30" s="1164"/>
      <c r="E30" s="1174"/>
      <c r="F30" s="2553"/>
      <c r="G30" s="2532"/>
      <c r="H30" s="2557"/>
      <c r="I30" s="2558"/>
      <c r="J30" s="2559"/>
      <c r="K30" s="2559"/>
      <c r="L30" s="2551"/>
      <c r="M30" s="2285"/>
      <c r="N30" s="2560"/>
      <c r="O30" s="2561"/>
      <c r="P30" s="2607"/>
      <c r="Q30" s="2556"/>
      <c r="R30" s="2556"/>
      <c r="S30" s="2556"/>
      <c r="T30" s="2556"/>
      <c r="U30" s="2556"/>
      <c r="V30" s="2556"/>
      <c r="W30" s="2556"/>
      <c r="X30" s="2556"/>
      <c r="Y30" s="2556"/>
      <c r="Z30" s="2038"/>
      <c r="AA30" s="2039"/>
      <c r="AB30" s="2046"/>
      <c r="AC30" s="2040"/>
      <c r="AD30" s="2040"/>
      <c r="AE30" s="2047"/>
      <c r="AF30" s="2555"/>
      <c r="AG30" s="2551"/>
      <c r="AH30" s="2551"/>
      <c r="AI30" s="2555"/>
      <c r="AJ30" s="2551"/>
      <c r="AK30" s="2551"/>
      <c r="AL30" s="1989"/>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9"/>
    </row>
    <row customHeight="1" ht="0.75">
      <c r="A31" s="1170" t="s">
        <v>1198</v>
      </c>
      <c r="B31" s="1170"/>
      <c r="C31" s="1170"/>
      <c r="D31" s="1164"/>
      <c r="E31" s="1174"/>
      <c r="F31" s="2553"/>
      <c r="G31" s="2532"/>
      <c r="H31" s="2557"/>
      <c r="I31" s="2558"/>
      <c r="J31" s="2559"/>
      <c r="K31" s="2559"/>
      <c r="L31" s="2551"/>
      <c r="M31" s="2285"/>
      <c r="N31" s="2039"/>
      <c r="O31" s="2039"/>
      <c r="P31" s="2046"/>
      <c r="Q31" s="2039"/>
      <c r="R31" s="2039"/>
      <c r="S31" s="2039"/>
      <c r="T31" s="2039"/>
      <c r="U31" s="2039"/>
      <c r="V31" s="2039"/>
      <c r="W31" s="2039"/>
      <c r="X31" s="2039"/>
      <c r="Y31" s="2039"/>
      <c r="Z31" s="2039"/>
      <c r="AA31" s="2039"/>
      <c r="AB31" s="2039"/>
      <c r="AC31" s="2039"/>
      <c r="AD31" s="2039"/>
      <c r="AE31" s="2048"/>
      <c r="AF31" s="2555"/>
      <c r="AG31" s="2551"/>
      <c r="AH31" s="2551"/>
      <c r="AI31" s="2555"/>
      <c r="AJ31" s="2551"/>
      <c r="AK31" s="2551"/>
      <c r="AL31" s="1989"/>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9"/>
    </row>
    <row customHeight="1" ht="11.25">
      <c r="A32" s="1170" t="s">
        <v>1198</v>
      </c>
      <c r="B32" s="1170"/>
      <c r="C32" s="1170"/>
      <c r="D32" s="1164"/>
      <c r="E32" s="1174"/>
      <c r="F32" s="1832"/>
      <c r="G32" s="687" t="s">
        <v>103</v>
      </c>
      <c r="H32" s="2532" t="s">
        <v>105</v>
      </c>
      <c r="I32" s="2533"/>
      <c r="J32" s="2502"/>
      <c r="K32" s="2534" t="s">
        <v>1301</v>
      </c>
      <c r="L32" s="2124" t="s">
        <v>19</v>
      </c>
      <c r="M32" s="2125"/>
      <c r="N32" s="1987"/>
      <c r="O32" s="1181" t="s">
        <v>514</v>
      </c>
      <c r="P32" s="1182"/>
      <c r="Q32" s="1182"/>
      <c r="R32" s="1182"/>
      <c r="S32" s="1182"/>
      <c r="T32" s="1182"/>
      <c r="U32" s="1182"/>
      <c r="V32" s="1182"/>
      <c r="W32" s="1182"/>
      <c r="X32" s="1182"/>
      <c r="Y32" s="1182"/>
      <c r="Z32" s="1182"/>
      <c r="AA32" s="1182"/>
      <c r="AB32" s="1182"/>
      <c r="AC32" s="1182"/>
      <c r="AD32" s="1182"/>
      <c r="AE32" s="1182"/>
      <c r="AF32" s="2523">
        <v>8</v>
      </c>
      <c r="AG32" s="2524" t="s">
        <v>1302</v>
      </c>
      <c r="AH32" s="2524" t="s">
        <v>1303</v>
      </c>
      <c r="AI32" s="2523">
        <v>8</v>
      </c>
      <c r="AJ32" s="2524" t="s">
        <v>1302</v>
      </c>
      <c r="AK32" s="2524" t="s">
        <v>1303</v>
      </c>
      <c r="AL32" s="1989"/>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9"/>
    </row>
    <row customHeight="1" ht="11.25">
      <c r="A33" s="1170" t="s">
        <v>1198</v>
      </c>
      <c r="B33" s="1170"/>
      <c r="C33" s="1170"/>
      <c r="D33" s="1164"/>
      <c r="E33" s="1174"/>
      <c r="F33" s="1832"/>
      <c r="G33" s="1833"/>
      <c r="H33" s="2532" t="s">
        <v>514</v>
      </c>
      <c r="I33" s="2533"/>
      <c r="J33" s="2502"/>
      <c r="K33" s="2534"/>
      <c r="L33" s="2124"/>
      <c r="M33" s="2125"/>
      <c r="N33" s="2525"/>
      <c r="O33" s="2526">
        <v>1</v>
      </c>
      <c r="P33" s="2527" t="s">
        <v>64</v>
      </c>
      <c r="Q33" s="3351" t="s">
        <v>1304</v>
      </c>
      <c r="R33" s="3352" t="s">
        <v>1305</v>
      </c>
      <c r="S33" s="3352" t="s">
        <v>1306</v>
      </c>
      <c r="T33" s="3352" t="s">
        <v>1306</v>
      </c>
      <c r="U33" s="3352" t="s">
        <v>1307</v>
      </c>
      <c r="V33" s="3352" t="s">
        <v>1308</v>
      </c>
      <c r="W33" s="3352" t="s">
        <v>1309</v>
      </c>
      <c r="X33" s="3352" t="s">
        <v>1310</v>
      </c>
      <c r="Y33" s="3352" t="s">
        <v>1311</v>
      </c>
      <c r="Z33" s="1179"/>
      <c r="AA33" s="1180"/>
      <c r="AB33" s="1180"/>
      <c r="AC33" s="1184"/>
      <c r="AD33" s="1184"/>
      <c r="AE33" s="1185"/>
      <c r="AF33" s="2523"/>
      <c r="AG33" s="2524"/>
      <c r="AH33" s="2524"/>
      <c r="AI33" s="2523"/>
      <c r="AJ33" s="2524"/>
      <c r="AK33" s="2524"/>
      <c r="AL33" s="1989"/>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9"/>
    </row>
    <row customHeight="1" ht="11.25">
      <c r="A34" s="1170" t="s">
        <v>1198</v>
      </c>
      <c r="B34" s="1170"/>
      <c r="C34" s="1170"/>
      <c r="D34" s="1164"/>
      <c r="E34" s="1174"/>
      <c r="F34" s="1832"/>
      <c r="G34" s="1833"/>
      <c r="H34" s="2532" t="s">
        <v>514</v>
      </c>
      <c r="I34" s="2533"/>
      <c r="J34" s="2502"/>
      <c r="K34" s="2534"/>
      <c r="L34" s="2124"/>
      <c r="M34" s="2125"/>
      <c r="N34" s="2525"/>
      <c r="O34" s="2526"/>
      <c r="P34" s="2528"/>
      <c r="Q34" s="3351"/>
      <c r="R34" s="2530"/>
      <c r="S34" s="2531"/>
      <c r="T34" s="2530"/>
      <c r="U34" s="2530"/>
      <c r="V34" s="2530"/>
      <c r="W34" s="2530"/>
      <c r="X34" s="2530"/>
      <c r="Y34" s="2530"/>
      <c r="Z34" s="1831"/>
      <c r="AA34" s="1797">
        <v>1</v>
      </c>
      <c r="AB34" s="1183" t="s">
        <v>1312</v>
      </c>
      <c r="AC34" s="1173">
        <v>0</v>
      </c>
      <c r="AD34" s="1183" t="str">
        <f>AB34</f>
        <v>  Прибыль направляемая на инвестиции</v>
      </c>
      <c r="AE34" s="1173">
        <v>0</v>
      </c>
      <c r="AF34" s="2523"/>
      <c r="AG34" s="2524"/>
      <c r="AH34" s="2524"/>
      <c r="AI34" s="2523"/>
      <c r="AJ34" s="2524"/>
      <c r="AK34" s="2524"/>
      <c r="AL34" s="1989"/>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9"/>
    </row>
    <row customHeight="1" ht="11.25">
      <c r="A35" s="1170" t="s">
        <v>1198</v>
      </c>
      <c r="B35" s="1170"/>
      <c r="C35" s="1170"/>
      <c r="D35" s="1164"/>
      <c r="E35" s="1174"/>
      <c r="F35" s="1832"/>
      <c r="G35" s="1833"/>
      <c r="H35" s="2532" t="s">
        <v>514</v>
      </c>
      <c r="I35" s="2533"/>
      <c r="J35" s="2502"/>
      <c r="K35" s="2534"/>
      <c r="L35" s="2124"/>
      <c r="M35" s="2125"/>
      <c r="N35" s="2525"/>
      <c r="O35" s="2526"/>
      <c r="P35" s="2529"/>
      <c r="Q35" s="3351"/>
      <c r="R35" s="2530"/>
      <c r="S35" s="2531"/>
      <c r="T35" s="2530"/>
      <c r="U35" s="2530"/>
      <c r="V35" s="2530"/>
      <c r="W35" s="2530"/>
      <c r="X35" s="2530"/>
      <c r="Y35" s="2530"/>
      <c r="Z35" s="1179"/>
      <c r="AA35" s="1180"/>
      <c r="AB35" s="1245" t="s">
        <v>1313</v>
      </c>
      <c r="AC35" s="1184"/>
      <c r="AD35" s="1184"/>
      <c r="AE35" s="1186"/>
      <c r="AF35" s="2523"/>
      <c r="AG35" s="2524"/>
      <c r="AH35" s="2524"/>
      <c r="AI35" s="2523"/>
      <c r="AJ35" s="2524"/>
      <c r="AK35" s="2524"/>
      <c r="AL35" s="1989"/>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9"/>
    </row>
    <row customHeight="1" ht="11.25">
      <c r="A36" s="1170" t="s">
        <v>1198</v>
      </c>
      <c r="B36" s="1170"/>
      <c r="C36" s="1170"/>
      <c r="D36" s="1164"/>
      <c r="E36" s="1174"/>
      <c r="F36" s="1832"/>
      <c r="G36" s="1833"/>
      <c r="H36" s="2532" t="s">
        <v>514</v>
      </c>
      <c r="I36" s="2533"/>
      <c r="J36" s="2502"/>
      <c r="K36" s="2534"/>
      <c r="L36" s="2124"/>
      <c r="M36" s="2125"/>
      <c r="N36" s="1179"/>
      <c r="O36" s="1180"/>
      <c r="P36" s="1172" t="s">
        <v>1314</v>
      </c>
      <c r="Q36" s="1180"/>
      <c r="R36" s="1180"/>
      <c r="S36" s="1180"/>
      <c r="T36" s="1180"/>
      <c r="U36" s="1180"/>
      <c r="V36" s="1180"/>
      <c r="W36" s="1180"/>
      <c r="X36" s="1180"/>
      <c r="Y36" s="1180"/>
      <c r="Z36" s="1180"/>
      <c r="AA36" s="1180"/>
      <c r="AB36" s="1180"/>
      <c r="AC36" s="1180"/>
      <c r="AD36" s="1180"/>
      <c r="AE36" s="1187"/>
      <c r="AF36" s="2523"/>
      <c r="AG36" s="2524"/>
      <c r="AH36" s="2524"/>
      <c r="AI36" s="2523"/>
      <c r="AJ36" s="2524"/>
      <c r="AK36" s="2524"/>
      <c r="AL36" s="1989"/>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9"/>
    </row>
    <row customHeight="1" ht="11.25">
      <c r="A37" s="1170" t="s">
        <v>1198</v>
      </c>
      <c r="B37" s="1170"/>
      <c r="C37" s="1170"/>
      <c r="D37" s="1164"/>
      <c r="E37" s="1174"/>
      <c r="F37" s="1832"/>
      <c r="G37" s="687" t="s">
        <v>103</v>
      </c>
      <c r="H37" s="2532" t="s">
        <v>102</v>
      </c>
      <c r="I37" s="2533"/>
      <c r="J37" s="2502"/>
      <c r="K37" s="2534" t="s">
        <v>1315</v>
      </c>
      <c r="L37" s="2124" t="s">
        <v>19</v>
      </c>
      <c r="M37" s="2125"/>
      <c r="N37" s="1987"/>
      <c r="O37" s="1181" t="s">
        <v>514</v>
      </c>
      <c r="P37" s="1182"/>
      <c r="Q37" s="1182"/>
      <c r="R37" s="1182"/>
      <c r="S37" s="1182"/>
      <c r="T37" s="1182"/>
      <c r="U37" s="1182"/>
      <c r="V37" s="1182"/>
      <c r="W37" s="1182"/>
      <c r="X37" s="1182"/>
      <c r="Y37" s="1182"/>
      <c r="Z37" s="1182"/>
      <c r="AA37" s="1182"/>
      <c r="AB37" s="1182"/>
      <c r="AC37" s="1182"/>
      <c r="AD37" s="1182"/>
      <c r="AE37" s="1182"/>
      <c r="AF37" s="2523">
        <v>8</v>
      </c>
      <c r="AG37" s="2524" t="s">
        <v>1302</v>
      </c>
      <c r="AH37" s="2524" t="s">
        <v>1303</v>
      </c>
      <c r="AI37" s="2523">
        <v>8</v>
      </c>
      <c r="AJ37" s="2524" t="s">
        <v>1302</v>
      </c>
      <c r="AK37" s="2524" t="s">
        <v>1303</v>
      </c>
      <c r="AL37" s="1989"/>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9"/>
    </row>
    <row customHeight="1" ht="11.25">
      <c r="A38" s="1170" t="s">
        <v>1198</v>
      </c>
      <c r="B38" s="1170"/>
      <c r="C38" s="1170"/>
      <c r="D38" s="1164"/>
      <c r="E38" s="1174"/>
      <c r="F38" s="1832"/>
      <c r="G38" s="1833"/>
      <c r="H38" s="2532" t="s">
        <v>105</v>
      </c>
      <c r="I38" s="2533"/>
      <c r="J38" s="2502"/>
      <c r="K38" s="2534"/>
      <c r="L38" s="2124"/>
      <c r="M38" s="2125"/>
      <c r="N38" s="2525"/>
      <c r="O38" s="2526">
        <v>1</v>
      </c>
      <c r="P38" s="2527" t="s">
        <v>64</v>
      </c>
      <c r="Q38" s="3351" t="s">
        <v>1304</v>
      </c>
      <c r="R38" s="3352" t="s">
        <v>1305</v>
      </c>
      <c r="S38" s="3352" t="s">
        <v>1306</v>
      </c>
      <c r="T38" s="3352" t="s">
        <v>1306</v>
      </c>
      <c r="U38" s="3352" t="s">
        <v>1307</v>
      </c>
      <c r="V38" s="3352" t="s">
        <v>1308</v>
      </c>
      <c r="W38" s="3352" t="s">
        <v>1309</v>
      </c>
      <c r="X38" s="3352" t="s">
        <v>1310</v>
      </c>
      <c r="Y38" s="3352" t="s">
        <v>1311</v>
      </c>
      <c r="Z38" s="1179"/>
      <c r="AA38" s="1180"/>
      <c r="AB38" s="1180"/>
      <c r="AC38" s="1184"/>
      <c r="AD38" s="1184"/>
      <c r="AE38" s="1185"/>
      <c r="AF38" s="2523"/>
      <c r="AG38" s="2524"/>
      <c r="AH38" s="2524"/>
      <c r="AI38" s="2523"/>
      <c r="AJ38" s="2524"/>
      <c r="AK38" s="2524"/>
      <c r="AL38" s="1989"/>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9"/>
    </row>
    <row customHeight="1" ht="11.25">
      <c r="A39" s="1170" t="s">
        <v>1198</v>
      </c>
      <c r="B39" s="1170"/>
      <c r="C39" s="1170"/>
      <c r="D39" s="1164"/>
      <c r="E39" s="1174"/>
      <c r="F39" s="1832"/>
      <c r="G39" s="1833"/>
      <c r="H39" s="2532" t="s">
        <v>105</v>
      </c>
      <c r="I39" s="2533"/>
      <c r="J39" s="2502"/>
      <c r="K39" s="2534"/>
      <c r="L39" s="2124"/>
      <c r="M39" s="2125"/>
      <c r="N39" s="2525"/>
      <c r="O39" s="2526"/>
      <c r="P39" s="2528"/>
      <c r="Q39" s="3351"/>
      <c r="R39" s="2530"/>
      <c r="S39" s="2531"/>
      <c r="T39" s="2530"/>
      <c r="U39" s="2530"/>
      <c r="V39" s="2530"/>
      <c r="W39" s="2530"/>
      <c r="X39" s="2530"/>
      <c r="Y39" s="2530"/>
      <c r="Z39" s="1831"/>
      <c r="AA39" s="1797">
        <v>1</v>
      </c>
      <c r="AB39" s="1183" t="s">
        <v>1312</v>
      </c>
      <c r="AC39" s="1173">
        <v>0</v>
      </c>
      <c r="AD39" s="1183" t="str">
        <f>AB39</f>
        <v>  Прибыль направляемая на инвестиции</v>
      </c>
      <c r="AE39" s="1173">
        <v>0</v>
      </c>
      <c r="AF39" s="2523"/>
      <c r="AG39" s="2524"/>
      <c r="AH39" s="2524"/>
      <c r="AI39" s="2523"/>
      <c r="AJ39" s="2524"/>
      <c r="AK39" s="2524"/>
      <c r="AL39" s="1989"/>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9"/>
    </row>
    <row customHeight="1" ht="11.25">
      <c r="A40" s="1170" t="s">
        <v>1198</v>
      </c>
      <c r="B40" s="1170"/>
      <c r="C40" s="1170"/>
      <c r="D40" s="1164"/>
      <c r="E40" s="1174"/>
      <c r="F40" s="1832"/>
      <c r="G40" s="1833"/>
      <c r="H40" s="2532" t="s">
        <v>105</v>
      </c>
      <c r="I40" s="2533"/>
      <c r="J40" s="2502"/>
      <c r="K40" s="2534"/>
      <c r="L40" s="2124"/>
      <c r="M40" s="2125"/>
      <c r="N40" s="2525"/>
      <c r="O40" s="2526"/>
      <c r="P40" s="2529"/>
      <c r="Q40" s="3351"/>
      <c r="R40" s="2530"/>
      <c r="S40" s="2531"/>
      <c r="T40" s="2530"/>
      <c r="U40" s="2530"/>
      <c r="V40" s="2530"/>
      <c r="W40" s="2530"/>
      <c r="X40" s="2530"/>
      <c r="Y40" s="2530"/>
      <c r="Z40" s="1179"/>
      <c r="AA40" s="1180"/>
      <c r="AB40" s="1245" t="s">
        <v>1313</v>
      </c>
      <c r="AC40" s="1184"/>
      <c r="AD40" s="1184"/>
      <c r="AE40" s="1186"/>
      <c r="AF40" s="2523"/>
      <c r="AG40" s="2524"/>
      <c r="AH40" s="2524"/>
      <c r="AI40" s="2523"/>
      <c r="AJ40" s="2524"/>
      <c r="AK40" s="2524"/>
      <c r="AL40" s="1989"/>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9"/>
    </row>
    <row customHeight="1" ht="11.25">
      <c r="A41" s="1170" t="s">
        <v>1198</v>
      </c>
      <c r="B41" s="1170"/>
      <c r="C41" s="1170"/>
      <c r="D41" s="1164"/>
      <c r="E41" s="1174"/>
      <c r="F41" s="1832"/>
      <c r="G41" s="1833"/>
      <c r="H41" s="2532" t="s">
        <v>105</v>
      </c>
      <c r="I41" s="2533"/>
      <c r="J41" s="2502"/>
      <c r="K41" s="2534"/>
      <c r="L41" s="2124"/>
      <c r="M41" s="2125"/>
      <c r="N41" s="1179"/>
      <c r="O41" s="1180"/>
      <c r="P41" s="1172" t="s">
        <v>1314</v>
      </c>
      <c r="Q41" s="1180"/>
      <c r="R41" s="1180"/>
      <c r="S41" s="1180"/>
      <c r="T41" s="1180"/>
      <c r="U41" s="1180"/>
      <c r="V41" s="1180"/>
      <c r="W41" s="1180"/>
      <c r="X41" s="1180"/>
      <c r="Y41" s="1180"/>
      <c r="Z41" s="1180"/>
      <c r="AA41" s="1180"/>
      <c r="AB41" s="1180"/>
      <c r="AC41" s="1180"/>
      <c r="AD41" s="1180"/>
      <c r="AE41" s="1187"/>
      <c r="AF41" s="2523"/>
      <c r="AG41" s="2524"/>
      <c r="AH41" s="2524"/>
      <c r="AI41" s="2523"/>
      <c r="AJ41" s="2524"/>
      <c r="AK41" s="2524"/>
      <c r="AL41" s="1989"/>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9"/>
    </row>
    <row customHeight="1" ht="11.25">
      <c r="A42" s="1170" t="s">
        <v>1198</v>
      </c>
      <c r="B42" s="1170"/>
      <c r="C42" s="1170"/>
      <c r="D42" s="1164"/>
      <c r="E42" s="1174"/>
      <c r="F42" s="1832"/>
      <c r="G42" s="687" t="s">
        <v>103</v>
      </c>
      <c r="H42" s="2532" t="s">
        <v>89</v>
      </c>
      <c r="I42" s="2533"/>
      <c r="J42" s="2502"/>
      <c r="K42" s="2534" t="s">
        <v>1316</v>
      </c>
      <c r="L42" s="2124" t="s">
        <v>19</v>
      </c>
      <c r="M42" s="2125"/>
      <c r="N42" s="1987"/>
      <c r="O42" s="1181" t="s">
        <v>514</v>
      </c>
      <c r="P42" s="1182"/>
      <c r="Q42" s="1182"/>
      <c r="R42" s="1182"/>
      <c r="S42" s="1182"/>
      <c r="T42" s="1182"/>
      <c r="U42" s="1182"/>
      <c r="V42" s="1182"/>
      <c r="W42" s="1182"/>
      <c r="X42" s="1182"/>
      <c r="Y42" s="1182"/>
      <c r="Z42" s="1182"/>
      <c r="AA42" s="1182"/>
      <c r="AB42" s="1182"/>
      <c r="AC42" s="1182"/>
      <c r="AD42" s="1182"/>
      <c r="AE42" s="1182"/>
      <c r="AF42" s="2523">
        <v>8</v>
      </c>
      <c r="AG42" s="2524" t="s">
        <v>1302</v>
      </c>
      <c r="AH42" s="2524" t="s">
        <v>1303</v>
      </c>
      <c r="AI42" s="2523">
        <v>8</v>
      </c>
      <c r="AJ42" s="2524" t="s">
        <v>1302</v>
      </c>
      <c r="AK42" s="2524" t="s">
        <v>1303</v>
      </c>
      <c r="AL42" s="1989"/>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9"/>
    </row>
    <row customHeight="1" ht="11.25">
      <c r="A43" s="1170" t="s">
        <v>1198</v>
      </c>
      <c r="B43" s="1170"/>
      <c r="C43" s="1170"/>
      <c r="D43" s="1164"/>
      <c r="E43" s="1174"/>
      <c r="F43" s="1832"/>
      <c r="G43" s="1833"/>
      <c r="H43" s="2532" t="s">
        <v>102</v>
      </c>
      <c r="I43" s="2533"/>
      <c r="J43" s="2502"/>
      <c r="K43" s="2534"/>
      <c r="L43" s="2124"/>
      <c r="M43" s="2125"/>
      <c r="N43" s="2525"/>
      <c r="O43" s="2526">
        <v>1</v>
      </c>
      <c r="P43" s="2527" t="s">
        <v>64</v>
      </c>
      <c r="Q43" s="3351" t="s">
        <v>1317</v>
      </c>
      <c r="R43" s="3352" t="s">
        <v>1305</v>
      </c>
      <c r="S43" s="3352" t="s">
        <v>1306</v>
      </c>
      <c r="T43" s="3352" t="s">
        <v>1306</v>
      </c>
      <c r="U43" s="3352" t="s">
        <v>1307</v>
      </c>
      <c r="V43" s="3352" t="s">
        <v>1308</v>
      </c>
      <c r="W43" s="3352" t="s">
        <v>1309</v>
      </c>
      <c r="X43" s="3352" t="s">
        <v>1318</v>
      </c>
      <c r="Y43" s="3352" t="s">
        <v>1319</v>
      </c>
      <c r="Z43" s="1179"/>
      <c r="AA43" s="1180"/>
      <c r="AB43" s="1180"/>
      <c r="AC43" s="1184"/>
      <c r="AD43" s="1184"/>
      <c r="AE43" s="1185"/>
      <c r="AF43" s="2523"/>
      <c r="AG43" s="2524"/>
      <c r="AH43" s="2524"/>
      <c r="AI43" s="2523"/>
      <c r="AJ43" s="2524"/>
      <c r="AK43" s="2524"/>
      <c r="AL43" s="1989"/>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9"/>
    </row>
    <row customHeight="1" ht="11.25">
      <c r="A44" s="1170" t="s">
        <v>1198</v>
      </c>
      <c r="B44" s="1170"/>
      <c r="C44" s="1170"/>
      <c r="D44" s="1164"/>
      <c r="E44" s="1174"/>
      <c r="F44" s="1832"/>
      <c r="G44" s="1833"/>
      <c r="H44" s="2532" t="s">
        <v>102</v>
      </c>
      <c r="I44" s="2533"/>
      <c r="J44" s="2502"/>
      <c r="K44" s="2534"/>
      <c r="L44" s="2124"/>
      <c r="M44" s="2125"/>
      <c r="N44" s="2525"/>
      <c r="O44" s="2526"/>
      <c r="P44" s="2528"/>
      <c r="Q44" s="3351"/>
      <c r="R44" s="2530"/>
      <c r="S44" s="2531"/>
      <c r="T44" s="2530"/>
      <c r="U44" s="2530"/>
      <c r="V44" s="2530"/>
      <c r="W44" s="2530"/>
      <c r="X44" s="2530"/>
      <c r="Y44" s="2530"/>
      <c r="Z44" s="1831"/>
      <c r="AA44" s="1797">
        <v>1</v>
      </c>
      <c r="AB44" s="1183" t="s">
        <v>1312</v>
      </c>
      <c r="AC44" s="1173">
        <v>0</v>
      </c>
      <c r="AD44" s="1183" t="str">
        <f>AB44</f>
        <v>  Прибыль направляемая на инвестиции</v>
      </c>
      <c r="AE44" s="1173">
        <v>0</v>
      </c>
      <c r="AF44" s="2523"/>
      <c r="AG44" s="2524"/>
      <c r="AH44" s="2524"/>
      <c r="AI44" s="2523"/>
      <c r="AJ44" s="2524"/>
      <c r="AK44" s="2524"/>
      <c r="AL44" s="1989"/>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9"/>
    </row>
    <row customHeight="1" ht="11.25">
      <c r="A45" s="1170" t="s">
        <v>1198</v>
      </c>
      <c r="B45" s="1170"/>
      <c r="C45" s="1170"/>
      <c r="D45" s="1164"/>
      <c r="E45" s="1174"/>
      <c r="F45" s="1832"/>
      <c r="G45" s="1833"/>
      <c r="H45" s="2532" t="s">
        <v>102</v>
      </c>
      <c r="I45" s="2533"/>
      <c r="J45" s="2502"/>
      <c r="K45" s="2534"/>
      <c r="L45" s="2124"/>
      <c r="M45" s="2125"/>
      <c r="N45" s="2525"/>
      <c r="O45" s="2526"/>
      <c r="P45" s="2529"/>
      <c r="Q45" s="3351"/>
      <c r="R45" s="2530"/>
      <c r="S45" s="2531"/>
      <c r="T45" s="2530"/>
      <c r="U45" s="2530"/>
      <c r="V45" s="2530"/>
      <c r="W45" s="2530"/>
      <c r="X45" s="2530"/>
      <c r="Y45" s="2530"/>
      <c r="Z45" s="1179"/>
      <c r="AA45" s="1180"/>
      <c r="AB45" s="1245" t="s">
        <v>1313</v>
      </c>
      <c r="AC45" s="1184"/>
      <c r="AD45" s="1184"/>
      <c r="AE45" s="1186"/>
      <c r="AF45" s="2523"/>
      <c r="AG45" s="2524"/>
      <c r="AH45" s="2524"/>
      <c r="AI45" s="2523"/>
      <c r="AJ45" s="2524"/>
      <c r="AK45" s="2524"/>
      <c r="AL45" s="1989"/>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9"/>
    </row>
    <row customHeight="1" ht="11.25">
      <c r="A46" s="1170" t="s">
        <v>1198</v>
      </c>
      <c r="B46" s="1170"/>
      <c r="C46" s="1170"/>
      <c r="D46" s="1164"/>
      <c r="E46" s="1174"/>
      <c r="F46" s="1832"/>
      <c r="G46" s="1833"/>
      <c r="H46" s="2532" t="s">
        <v>102</v>
      </c>
      <c r="I46" s="2533"/>
      <c r="J46" s="2502"/>
      <c r="K46" s="2534"/>
      <c r="L46" s="2124"/>
      <c r="M46" s="2125"/>
      <c r="N46" s="1179"/>
      <c r="O46" s="1180"/>
      <c r="P46" s="1172" t="s">
        <v>1314</v>
      </c>
      <c r="Q46" s="1180"/>
      <c r="R46" s="1180"/>
      <c r="S46" s="1180"/>
      <c r="T46" s="1180"/>
      <c r="U46" s="1180"/>
      <c r="V46" s="1180"/>
      <c r="W46" s="1180"/>
      <c r="X46" s="1180"/>
      <c r="Y46" s="1180"/>
      <c r="Z46" s="1180"/>
      <c r="AA46" s="1180"/>
      <c r="AB46" s="1180"/>
      <c r="AC46" s="1180"/>
      <c r="AD46" s="1180"/>
      <c r="AE46" s="1187"/>
      <c r="AF46" s="2523"/>
      <c r="AG46" s="2524"/>
      <c r="AH46" s="2524"/>
      <c r="AI46" s="2523"/>
      <c r="AJ46" s="2524"/>
      <c r="AK46" s="2524"/>
      <c r="AL46" s="1989"/>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9"/>
    </row>
    <row customHeight="1" ht="11.25">
      <c r="A47" s="1170" t="s">
        <v>1198</v>
      </c>
      <c r="B47" s="1170"/>
      <c r="C47" s="1170"/>
      <c r="D47" s="1164"/>
      <c r="E47" s="1174"/>
      <c r="F47" s="1832"/>
      <c r="G47" s="687" t="s">
        <v>103</v>
      </c>
      <c r="H47" s="2532" t="s">
        <v>90</v>
      </c>
      <c r="I47" s="2533"/>
      <c r="J47" s="2502"/>
      <c r="K47" s="2534" t="s">
        <v>1320</v>
      </c>
      <c r="L47" s="2124" t="s">
        <v>19</v>
      </c>
      <c r="M47" s="2125"/>
      <c r="N47" s="1987"/>
      <c r="O47" s="1181" t="s">
        <v>514</v>
      </c>
      <c r="P47" s="1182"/>
      <c r="Q47" s="1182"/>
      <c r="R47" s="1182"/>
      <c r="S47" s="1182"/>
      <c r="T47" s="1182"/>
      <c r="U47" s="1182"/>
      <c r="V47" s="1182"/>
      <c r="W47" s="1182"/>
      <c r="X47" s="1182"/>
      <c r="Y47" s="1182"/>
      <c r="Z47" s="1182"/>
      <c r="AA47" s="1182"/>
      <c r="AB47" s="1182"/>
      <c r="AC47" s="1182"/>
      <c r="AD47" s="1182"/>
      <c r="AE47" s="1182"/>
      <c r="AF47" s="2523">
        <v>8</v>
      </c>
      <c r="AG47" s="2524" t="s">
        <v>1302</v>
      </c>
      <c r="AH47" s="2524" t="s">
        <v>1303</v>
      </c>
      <c r="AI47" s="2523">
        <v>8</v>
      </c>
      <c r="AJ47" s="2524" t="s">
        <v>1302</v>
      </c>
      <c r="AK47" s="2524" t="s">
        <v>1303</v>
      </c>
      <c r="AL47" s="1989"/>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9"/>
    </row>
    <row customHeight="1" ht="11.25">
      <c r="A48" s="1170" t="s">
        <v>1198</v>
      </c>
      <c r="B48" s="1170"/>
      <c r="C48" s="1170"/>
      <c r="D48" s="1164"/>
      <c r="E48" s="1174"/>
      <c r="F48" s="1832"/>
      <c r="G48" s="1833"/>
      <c r="H48" s="2532" t="s">
        <v>89</v>
      </c>
      <c r="I48" s="2533"/>
      <c r="J48" s="2502"/>
      <c r="K48" s="2534"/>
      <c r="L48" s="2124"/>
      <c r="M48" s="2125"/>
      <c r="N48" s="2525"/>
      <c r="O48" s="2526">
        <v>1</v>
      </c>
      <c r="P48" s="2527" t="s">
        <v>64</v>
      </c>
      <c r="Q48" s="3351" t="s">
        <v>1304</v>
      </c>
      <c r="R48" s="3352" t="s">
        <v>1305</v>
      </c>
      <c r="S48" s="3352" t="s">
        <v>1306</v>
      </c>
      <c r="T48" s="3352" t="s">
        <v>1306</v>
      </c>
      <c r="U48" s="3352" t="s">
        <v>1307</v>
      </c>
      <c r="V48" s="3352" t="s">
        <v>1308</v>
      </c>
      <c r="W48" s="3352" t="s">
        <v>1309</v>
      </c>
      <c r="X48" s="3352" t="s">
        <v>1310</v>
      </c>
      <c r="Y48" s="3352" t="s">
        <v>1311</v>
      </c>
      <c r="Z48" s="1179"/>
      <c r="AA48" s="1180"/>
      <c r="AB48" s="1180"/>
      <c r="AC48" s="1184"/>
      <c r="AD48" s="1184"/>
      <c r="AE48" s="1185"/>
      <c r="AF48" s="2523"/>
      <c r="AG48" s="2524"/>
      <c r="AH48" s="2524"/>
      <c r="AI48" s="2523"/>
      <c r="AJ48" s="2524"/>
      <c r="AK48" s="2524"/>
      <c r="AL48" s="1989"/>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9"/>
    </row>
    <row customHeight="1" ht="11.25">
      <c r="A49" s="1170" t="s">
        <v>1198</v>
      </c>
      <c r="B49" s="1170"/>
      <c r="C49" s="1170"/>
      <c r="D49" s="1164"/>
      <c r="E49" s="1174"/>
      <c r="F49" s="1832"/>
      <c r="G49" s="1833"/>
      <c r="H49" s="2532" t="s">
        <v>89</v>
      </c>
      <c r="I49" s="2533"/>
      <c r="J49" s="2502"/>
      <c r="K49" s="2534"/>
      <c r="L49" s="2124"/>
      <c r="M49" s="2125"/>
      <c r="N49" s="2525"/>
      <c r="O49" s="2526"/>
      <c r="P49" s="2528"/>
      <c r="Q49" s="3351"/>
      <c r="R49" s="2530"/>
      <c r="S49" s="2531"/>
      <c r="T49" s="2530"/>
      <c r="U49" s="2530"/>
      <c r="V49" s="2530"/>
      <c r="W49" s="2530"/>
      <c r="X49" s="2530"/>
      <c r="Y49" s="2530"/>
      <c r="Z49" s="1831"/>
      <c r="AA49" s="1797">
        <v>1</v>
      </c>
      <c r="AB49" s="1183" t="s">
        <v>1312</v>
      </c>
      <c r="AC49" s="1173">
        <v>0</v>
      </c>
      <c r="AD49" s="1183" t="str">
        <f>AB49</f>
        <v>  Прибыль направляемая на инвестиции</v>
      </c>
      <c r="AE49" s="1173">
        <v>0</v>
      </c>
      <c r="AF49" s="2523"/>
      <c r="AG49" s="2524"/>
      <c r="AH49" s="2524"/>
      <c r="AI49" s="2523"/>
      <c r="AJ49" s="2524"/>
      <c r="AK49" s="2524"/>
      <c r="AL49" s="1989"/>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9"/>
    </row>
    <row customHeight="1" ht="11.25">
      <c r="A50" s="1170" t="s">
        <v>1198</v>
      </c>
      <c r="B50" s="1170"/>
      <c r="C50" s="1170"/>
      <c r="D50" s="1164"/>
      <c r="E50" s="1174"/>
      <c r="F50" s="1832"/>
      <c r="G50" s="1833"/>
      <c r="H50" s="2532" t="s">
        <v>89</v>
      </c>
      <c r="I50" s="2533"/>
      <c r="J50" s="2502"/>
      <c r="K50" s="2534"/>
      <c r="L50" s="2124"/>
      <c r="M50" s="2125"/>
      <c r="N50" s="2525"/>
      <c r="O50" s="2526"/>
      <c r="P50" s="2529"/>
      <c r="Q50" s="3351"/>
      <c r="R50" s="2530"/>
      <c r="S50" s="2531"/>
      <c r="T50" s="2530"/>
      <c r="U50" s="2530"/>
      <c r="V50" s="2530"/>
      <c r="W50" s="2530"/>
      <c r="X50" s="2530"/>
      <c r="Y50" s="2530"/>
      <c r="Z50" s="1179"/>
      <c r="AA50" s="1180"/>
      <c r="AB50" s="1245" t="s">
        <v>1313</v>
      </c>
      <c r="AC50" s="1184"/>
      <c r="AD50" s="1184"/>
      <c r="AE50" s="1186"/>
      <c r="AF50" s="2523"/>
      <c r="AG50" s="2524"/>
      <c r="AH50" s="2524"/>
      <c r="AI50" s="2523"/>
      <c r="AJ50" s="2524"/>
      <c r="AK50" s="2524"/>
      <c r="AL50" s="1989"/>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9"/>
    </row>
    <row customHeight="1" ht="11.25">
      <c r="A51" s="1170" t="s">
        <v>1198</v>
      </c>
      <c r="B51" s="1170"/>
      <c r="C51" s="1170"/>
      <c r="D51" s="1164"/>
      <c r="E51" s="1174"/>
      <c r="F51" s="1832"/>
      <c r="G51" s="1833"/>
      <c r="H51" s="2532" t="s">
        <v>89</v>
      </c>
      <c r="I51" s="2533"/>
      <c r="J51" s="2502"/>
      <c r="K51" s="2534"/>
      <c r="L51" s="2124"/>
      <c r="M51" s="2125"/>
      <c r="N51" s="1179"/>
      <c r="O51" s="1180"/>
      <c r="P51" s="1172" t="s">
        <v>1314</v>
      </c>
      <c r="Q51" s="1180"/>
      <c r="R51" s="1180"/>
      <c r="S51" s="1180"/>
      <c r="T51" s="1180"/>
      <c r="U51" s="1180"/>
      <c r="V51" s="1180"/>
      <c r="W51" s="1180"/>
      <c r="X51" s="1180"/>
      <c r="Y51" s="1180"/>
      <c r="Z51" s="1180"/>
      <c r="AA51" s="1180"/>
      <c r="AB51" s="1180"/>
      <c r="AC51" s="1180"/>
      <c r="AD51" s="1180"/>
      <c r="AE51" s="1187"/>
      <c r="AF51" s="2523"/>
      <c r="AG51" s="2524"/>
      <c r="AH51" s="2524"/>
      <c r="AI51" s="2523"/>
      <c r="AJ51" s="2524"/>
      <c r="AK51" s="2524"/>
      <c r="AL51" s="1989"/>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9"/>
    </row>
    <row customHeight="1" ht="11.25">
      <c r="A52" s="1170" t="s">
        <v>1198</v>
      </c>
      <c r="B52" s="1170"/>
      <c r="C52" s="1170"/>
      <c r="D52" s="1164"/>
      <c r="E52" s="1174"/>
      <c r="F52" s="1832"/>
      <c r="G52" s="687" t="s">
        <v>103</v>
      </c>
      <c r="H52" s="2532" t="s">
        <v>120</v>
      </c>
      <c r="I52" s="2533"/>
      <c r="J52" s="2502"/>
      <c r="K52" s="2534" t="s">
        <v>1321</v>
      </c>
      <c r="L52" s="2124" t="s">
        <v>19</v>
      </c>
      <c r="M52" s="2125"/>
      <c r="N52" s="1987"/>
      <c r="O52" s="1181" t="s">
        <v>514</v>
      </c>
      <c r="P52" s="1182"/>
      <c r="Q52" s="1182"/>
      <c r="R52" s="1182"/>
      <c r="S52" s="1182"/>
      <c r="T52" s="1182"/>
      <c r="U52" s="1182"/>
      <c r="V52" s="1182"/>
      <c r="W52" s="1182"/>
      <c r="X52" s="1182"/>
      <c r="Y52" s="1182"/>
      <c r="Z52" s="1182"/>
      <c r="AA52" s="1182"/>
      <c r="AB52" s="1182"/>
      <c r="AC52" s="1182"/>
      <c r="AD52" s="1182"/>
      <c r="AE52" s="1182"/>
      <c r="AF52" s="2523">
        <v>8</v>
      </c>
      <c r="AG52" s="2524" t="s">
        <v>1302</v>
      </c>
      <c r="AH52" s="2524" t="s">
        <v>1303</v>
      </c>
      <c r="AI52" s="2523">
        <v>8</v>
      </c>
      <c r="AJ52" s="2524" t="s">
        <v>1302</v>
      </c>
      <c r="AK52" s="2524" t="s">
        <v>1303</v>
      </c>
      <c r="AL52" s="1989"/>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9"/>
    </row>
    <row customHeight="1" ht="11.25">
      <c r="A53" s="1170" t="s">
        <v>1198</v>
      </c>
      <c r="B53" s="1170"/>
      <c r="C53" s="1170"/>
      <c r="D53" s="1164"/>
      <c r="E53" s="1174"/>
      <c r="F53" s="1832"/>
      <c r="G53" s="1833"/>
      <c r="H53" s="2532" t="s">
        <v>90</v>
      </c>
      <c r="I53" s="2533"/>
      <c r="J53" s="2502"/>
      <c r="K53" s="2534"/>
      <c r="L53" s="2124"/>
      <c r="M53" s="2125"/>
      <c r="N53" s="2525"/>
      <c r="O53" s="2526">
        <v>1</v>
      </c>
      <c r="P53" s="2527" t="s">
        <v>64</v>
      </c>
      <c r="Q53" s="3351" t="s">
        <v>1304</v>
      </c>
      <c r="R53" s="3352" t="s">
        <v>1305</v>
      </c>
      <c r="S53" s="3352" t="s">
        <v>1306</v>
      </c>
      <c r="T53" s="3352" t="s">
        <v>1306</v>
      </c>
      <c r="U53" s="3352" t="s">
        <v>1307</v>
      </c>
      <c r="V53" s="3352" t="s">
        <v>1308</v>
      </c>
      <c r="W53" s="3352" t="s">
        <v>1309</v>
      </c>
      <c r="X53" s="3352" t="s">
        <v>1310</v>
      </c>
      <c r="Y53" s="3352" t="s">
        <v>1311</v>
      </c>
      <c r="Z53" s="1179"/>
      <c r="AA53" s="1180"/>
      <c r="AB53" s="1180"/>
      <c r="AC53" s="1184"/>
      <c r="AD53" s="1184"/>
      <c r="AE53" s="1185"/>
      <c r="AF53" s="2523"/>
      <c r="AG53" s="2524"/>
      <c r="AH53" s="2524"/>
      <c r="AI53" s="2523"/>
      <c r="AJ53" s="2524"/>
      <c r="AK53" s="2524"/>
      <c r="AL53" s="1989"/>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9"/>
    </row>
    <row customHeight="1" ht="11.25">
      <c r="A54" s="1170" t="s">
        <v>1198</v>
      </c>
      <c r="B54" s="1170"/>
      <c r="C54" s="1170"/>
      <c r="D54" s="1164"/>
      <c r="E54" s="1174"/>
      <c r="F54" s="1832"/>
      <c r="G54" s="1833"/>
      <c r="H54" s="2532" t="s">
        <v>90</v>
      </c>
      <c r="I54" s="2533"/>
      <c r="J54" s="2502"/>
      <c r="K54" s="2534"/>
      <c r="L54" s="2124"/>
      <c r="M54" s="2125"/>
      <c r="N54" s="2525"/>
      <c r="O54" s="2526"/>
      <c r="P54" s="2528"/>
      <c r="Q54" s="3351"/>
      <c r="R54" s="2530"/>
      <c r="S54" s="2531"/>
      <c r="T54" s="2530"/>
      <c r="U54" s="2530"/>
      <c r="V54" s="2530"/>
      <c r="W54" s="2530"/>
      <c r="X54" s="2530"/>
      <c r="Y54" s="2530"/>
      <c r="Z54" s="1831"/>
      <c r="AA54" s="1797">
        <v>1</v>
      </c>
      <c r="AB54" s="1183" t="s">
        <v>1312</v>
      </c>
      <c r="AC54" s="1173">
        <v>0</v>
      </c>
      <c r="AD54" s="1183" t="str">
        <f>AB54</f>
        <v>  Прибыль направляемая на инвестиции</v>
      </c>
      <c r="AE54" s="1173">
        <v>0</v>
      </c>
      <c r="AF54" s="2523"/>
      <c r="AG54" s="2524"/>
      <c r="AH54" s="2524"/>
      <c r="AI54" s="2523"/>
      <c r="AJ54" s="2524"/>
      <c r="AK54" s="2524"/>
      <c r="AL54" s="1989"/>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9"/>
    </row>
    <row customHeight="1" ht="11.25">
      <c r="A55" s="1170" t="s">
        <v>1198</v>
      </c>
      <c r="B55" s="1170"/>
      <c r="C55" s="1170"/>
      <c r="D55" s="1164"/>
      <c r="E55" s="1174"/>
      <c r="F55" s="1832"/>
      <c r="G55" s="1833"/>
      <c r="H55" s="2532" t="s">
        <v>90</v>
      </c>
      <c r="I55" s="2533"/>
      <c r="J55" s="2502"/>
      <c r="K55" s="2534"/>
      <c r="L55" s="2124"/>
      <c r="M55" s="2125"/>
      <c r="N55" s="2525"/>
      <c r="O55" s="2526"/>
      <c r="P55" s="2529"/>
      <c r="Q55" s="3351"/>
      <c r="R55" s="2530"/>
      <c r="S55" s="2531"/>
      <c r="T55" s="2530"/>
      <c r="U55" s="2530"/>
      <c r="V55" s="2530"/>
      <c r="W55" s="2530"/>
      <c r="X55" s="2530"/>
      <c r="Y55" s="2530"/>
      <c r="Z55" s="1179"/>
      <c r="AA55" s="1180"/>
      <c r="AB55" s="1245" t="s">
        <v>1313</v>
      </c>
      <c r="AC55" s="1184"/>
      <c r="AD55" s="1184"/>
      <c r="AE55" s="1186"/>
      <c r="AF55" s="2523"/>
      <c r="AG55" s="2524"/>
      <c r="AH55" s="2524"/>
      <c r="AI55" s="2523"/>
      <c r="AJ55" s="2524"/>
      <c r="AK55" s="2524"/>
      <c r="AL55" s="1989"/>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9"/>
    </row>
    <row customHeight="1" ht="11.25">
      <c r="A56" s="1170" t="s">
        <v>1198</v>
      </c>
      <c r="B56" s="1170"/>
      <c r="C56" s="1170"/>
      <c r="D56" s="1164"/>
      <c r="E56" s="1174"/>
      <c r="F56" s="1832"/>
      <c r="G56" s="1833"/>
      <c r="H56" s="2532" t="s">
        <v>90</v>
      </c>
      <c r="I56" s="2533"/>
      <c r="J56" s="2502"/>
      <c r="K56" s="2534"/>
      <c r="L56" s="2124"/>
      <c r="M56" s="2125"/>
      <c r="N56" s="1179"/>
      <c r="O56" s="1180"/>
      <c r="P56" s="1172" t="s">
        <v>1314</v>
      </c>
      <c r="Q56" s="1180"/>
      <c r="R56" s="1180"/>
      <c r="S56" s="1180"/>
      <c r="T56" s="1180"/>
      <c r="U56" s="1180"/>
      <c r="V56" s="1180"/>
      <c r="W56" s="1180"/>
      <c r="X56" s="1180"/>
      <c r="Y56" s="1180"/>
      <c r="Z56" s="1180"/>
      <c r="AA56" s="1180"/>
      <c r="AB56" s="1180"/>
      <c r="AC56" s="1180"/>
      <c r="AD56" s="1180"/>
      <c r="AE56" s="1187"/>
      <c r="AF56" s="2523"/>
      <c r="AG56" s="2524"/>
      <c r="AH56" s="2524"/>
      <c r="AI56" s="2523"/>
      <c r="AJ56" s="2524"/>
      <c r="AK56" s="2524"/>
      <c r="AL56" s="1989"/>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9"/>
    </row>
    <row customHeight="1" ht="12">
      <c r="A57" s="1170" t="s">
        <v>1198</v>
      </c>
      <c r="B57" s="1170"/>
      <c r="C57" s="1170"/>
      <c r="D57" s="1164"/>
      <c r="E57" s="1174"/>
      <c r="F57" s="2554"/>
      <c r="G57" s="1194"/>
      <c r="H57" s="1194"/>
      <c r="I57" s="2552" t="s">
        <v>1300</v>
      </c>
      <c r="J57" s="2552"/>
      <c r="K57" s="2552"/>
      <c r="L57" s="1177"/>
      <c r="M57" s="1177"/>
      <c r="N57" s="1178"/>
      <c r="O57" s="1178"/>
      <c r="P57" s="1178"/>
      <c r="Q57" s="1178"/>
      <c r="R57" s="1178"/>
      <c r="S57" s="1178"/>
      <c r="T57" s="1178"/>
      <c r="U57" s="1178"/>
      <c r="V57" s="1178"/>
      <c r="W57" s="1178"/>
      <c r="X57" s="1178"/>
      <c r="Y57" s="1178"/>
      <c r="Z57" s="1178"/>
      <c r="AA57" s="1178"/>
      <c r="AB57" s="1178"/>
      <c r="AC57" s="1178"/>
      <c r="AD57" s="1178"/>
      <c r="AE57" s="1178"/>
      <c r="AF57" s="1178"/>
      <c r="AG57" s="1177"/>
      <c r="AH57" s="1177"/>
      <c r="AI57" s="1178"/>
      <c r="AJ57" s="1177"/>
      <c r="AK57" s="1178"/>
      <c r="AL57" s="1989"/>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9"/>
    </row>
    <row customHeight="1" ht="0.75">
      <c r="A58" s="1170" t="s">
        <v>1198</v>
      </c>
      <c r="B58" s="1170"/>
      <c r="C58" s="1170"/>
      <c r="D58" s="1164"/>
      <c r="E58" s="1174"/>
      <c r="F58" s="2553">
        <v>2025</v>
      </c>
      <c r="G58" s="2532"/>
      <c r="H58" s="2557" t="s">
        <v>514</v>
      </c>
      <c r="I58" s="2558"/>
      <c r="J58" s="2559"/>
      <c r="K58" s="2559"/>
      <c r="L58" s="2551"/>
      <c r="M58" s="2285"/>
      <c r="N58" s="2037"/>
      <c r="O58" s="2036"/>
      <c r="P58" s="2037"/>
      <c r="Q58" s="2037"/>
      <c r="R58" s="2037"/>
      <c r="S58" s="2037"/>
      <c r="T58" s="2037"/>
      <c r="U58" s="2037"/>
      <c r="V58" s="2037"/>
      <c r="W58" s="2037"/>
      <c r="X58" s="2037"/>
      <c r="Y58" s="2037"/>
      <c r="Z58" s="2037"/>
      <c r="AA58" s="2037"/>
      <c r="AB58" s="2037"/>
      <c r="AC58" s="2037"/>
      <c r="AD58" s="2037"/>
      <c r="AE58" s="2037"/>
      <c r="AF58" s="2555"/>
      <c r="AG58" s="2551"/>
      <c r="AH58" s="2551"/>
      <c r="AI58" s="2555"/>
      <c r="AJ58" s="2551"/>
      <c r="AK58" s="2551"/>
      <c r="AL58" s="1989"/>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9"/>
    </row>
    <row customHeight="1" ht="0.75">
      <c r="A59" s="1170" t="s">
        <v>1198</v>
      </c>
      <c r="B59" s="1170"/>
      <c r="C59" s="1170"/>
      <c r="D59" s="1164"/>
      <c r="E59" s="1174"/>
      <c r="F59" s="2553"/>
      <c r="G59" s="2532"/>
      <c r="H59" s="2557"/>
      <c r="I59" s="2558"/>
      <c r="J59" s="2559"/>
      <c r="K59" s="2559"/>
      <c r="L59" s="2551"/>
      <c r="M59" s="2285"/>
      <c r="N59" s="2560"/>
      <c r="O59" s="2561"/>
      <c r="P59" s="2605"/>
      <c r="Q59" s="2556"/>
      <c r="R59" s="2556"/>
      <c r="S59" s="2556"/>
      <c r="T59" s="2556"/>
      <c r="U59" s="2556"/>
      <c r="V59" s="2556"/>
      <c r="W59" s="2556"/>
      <c r="X59" s="2556"/>
      <c r="Y59" s="2556"/>
      <c r="Z59" s="2038"/>
      <c r="AA59" s="2039"/>
      <c r="AB59" s="2039"/>
      <c r="AC59" s="2040"/>
      <c r="AD59" s="2040"/>
      <c r="AE59" s="2041"/>
      <c r="AF59" s="2555"/>
      <c r="AG59" s="2551"/>
      <c r="AH59" s="2551"/>
      <c r="AI59" s="2555"/>
      <c r="AJ59" s="2551"/>
      <c r="AK59" s="2551"/>
      <c r="AL59" s="1989"/>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9"/>
    </row>
    <row customHeight="1" ht="0.75">
      <c r="A60" s="1170" t="s">
        <v>1198</v>
      </c>
      <c r="B60" s="1170"/>
      <c r="C60" s="1170"/>
      <c r="D60" s="1164"/>
      <c r="E60" s="1174"/>
      <c r="F60" s="2553"/>
      <c r="G60" s="2532"/>
      <c r="H60" s="2557"/>
      <c r="I60" s="2558"/>
      <c r="J60" s="2559"/>
      <c r="K60" s="2559"/>
      <c r="L60" s="2551"/>
      <c r="M60" s="2285"/>
      <c r="N60" s="2560"/>
      <c r="O60" s="2561"/>
      <c r="P60" s="2606"/>
      <c r="Q60" s="2556"/>
      <c r="R60" s="2556"/>
      <c r="S60" s="2556"/>
      <c r="T60" s="2556"/>
      <c r="U60" s="2556"/>
      <c r="V60" s="2556"/>
      <c r="W60" s="2556"/>
      <c r="X60" s="2556"/>
      <c r="Y60" s="2556"/>
      <c r="Z60" s="2042"/>
      <c r="AA60" s="2043"/>
      <c r="AB60" s="2044"/>
      <c r="AC60" s="2045"/>
      <c r="AD60" s="2044"/>
      <c r="AE60" s="2045"/>
      <c r="AF60" s="2555"/>
      <c r="AG60" s="2551"/>
      <c r="AH60" s="2551"/>
      <c r="AI60" s="2555"/>
      <c r="AJ60" s="2551"/>
      <c r="AK60" s="2551"/>
      <c r="AL60" s="1989"/>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9"/>
    </row>
    <row customHeight="1" ht="0.75">
      <c r="A61" s="1170" t="s">
        <v>1198</v>
      </c>
      <c r="B61" s="1170"/>
      <c r="C61" s="1170"/>
      <c r="D61" s="1164"/>
      <c r="E61" s="1174"/>
      <c r="F61" s="2553"/>
      <c r="G61" s="2532"/>
      <c r="H61" s="2557"/>
      <c r="I61" s="2558"/>
      <c r="J61" s="2559"/>
      <c r="K61" s="2559"/>
      <c r="L61" s="2551"/>
      <c r="M61" s="2285"/>
      <c r="N61" s="2560"/>
      <c r="O61" s="2561"/>
      <c r="P61" s="2607"/>
      <c r="Q61" s="2556"/>
      <c r="R61" s="2556"/>
      <c r="S61" s="2556"/>
      <c r="T61" s="2556"/>
      <c r="U61" s="2556"/>
      <c r="V61" s="2556"/>
      <c r="W61" s="2556"/>
      <c r="X61" s="2556"/>
      <c r="Y61" s="2556"/>
      <c r="Z61" s="2038"/>
      <c r="AA61" s="2039"/>
      <c r="AB61" s="2046"/>
      <c r="AC61" s="2040"/>
      <c r="AD61" s="2040"/>
      <c r="AE61" s="2047"/>
      <c r="AF61" s="2555"/>
      <c r="AG61" s="2551"/>
      <c r="AH61" s="2551"/>
      <c r="AI61" s="2555"/>
      <c r="AJ61" s="2551"/>
      <c r="AK61" s="2551"/>
      <c r="AL61" s="1989"/>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9"/>
    </row>
    <row customHeight="1" ht="0.75">
      <c r="A62" s="1170" t="s">
        <v>1198</v>
      </c>
      <c r="B62" s="1170"/>
      <c r="C62" s="1170"/>
      <c r="D62" s="1164"/>
      <c r="E62" s="1174"/>
      <c r="F62" s="2553"/>
      <c r="G62" s="2532"/>
      <c r="H62" s="2557"/>
      <c r="I62" s="2558"/>
      <c r="J62" s="2559"/>
      <c r="K62" s="2559"/>
      <c r="L62" s="2551"/>
      <c r="M62" s="2285"/>
      <c r="N62" s="2039"/>
      <c r="O62" s="2039"/>
      <c r="P62" s="2046"/>
      <c r="Q62" s="2039"/>
      <c r="R62" s="2039"/>
      <c r="S62" s="2039"/>
      <c r="T62" s="2039"/>
      <c r="U62" s="2039"/>
      <c r="V62" s="2039"/>
      <c r="W62" s="2039"/>
      <c r="X62" s="2039"/>
      <c r="Y62" s="2039"/>
      <c r="Z62" s="2039"/>
      <c r="AA62" s="2039"/>
      <c r="AB62" s="2039"/>
      <c r="AC62" s="2039"/>
      <c r="AD62" s="2039"/>
      <c r="AE62" s="2048"/>
      <c r="AF62" s="2555"/>
      <c r="AG62" s="2551"/>
      <c r="AH62" s="2551"/>
      <c r="AI62" s="2555"/>
      <c r="AJ62" s="2551"/>
      <c r="AK62" s="2551"/>
      <c r="AL62" s="1989"/>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9"/>
    </row>
    <row customHeight="1" ht="12">
      <c r="A63" s="1170" t="s">
        <v>1198</v>
      </c>
      <c r="B63" s="1170"/>
      <c r="C63" s="1170"/>
      <c r="D63" s="1164"/>
      <c r="E63" s="1174"/>
      <c r="F63" s="2554"/>
      <c r="G63" s="1194"/>
      <c r="H63" s="1194"/>
      <c r="I63" s="2552" t="s">
        <v>1300</v>
      </c>
      <c r="J63" s="2552"/>
      <c r="K63" s="2552"/>
      <c r="L63" s="1177"/>
      <c r="M63" s="1177"/>
      <c r="N63" s="1178"/>
      <c r="O63" s="1178"/>
      <c r="P63" s="1178"/>
      <c r="Q63" s="1178"/>
      <c r="R63" s="1178"/>
      <c r="S63" s="1178"/>
      <c r="T63" s="1178"/>
      <c r="U63" s="1178"/>
      <c r="V63" s="1178"/>
      <c r="W63" s="1178"/>
      <c r="X63" s="1178"/>
      <c r="Y63" s="1178"/>
      <c r="Z63" s="1178"/>
      <c r="AA63" s="1178"/>
      <c r="AB63" s="1178"/>
      <c r="AC63" s="1178"/>
      <c r="AD63" s="1178"/>
      <c r="AE63" s="1178"/>
      <c r="AF63" s="1178"/>
      <c r="AG63" s="1177"/>
      <c r="AH63" s="1177"/>
      <c r="AI63" s="1178"/>
      <c r="AJ63" s="1177"/>
      <c r="AK63" s="1178"/>
      <c r="AL63" s="1989"/>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9"/>
    </row>
    <row customHeight="1" ht="0.75">
      <c r="A64" s="1170" t="s">
        <v>1198</v>
      </c>
      <c r="B64" s="1170"/>
      <c r="C64" s="1170"/>
      <c r="D64" s="1164"/>
      <c r="E64" s="1174"/>
      <c r="F64" s="2553">
        <v>2026</v>
      </c>
      <c r="G64" s="2532"/>
      <c r="H64" s="2557" t="s">
        <v>514</v>
      </c>
      <c r="I64" s="2558"/>
      <c r="J64" s="2559"/>
      <c r="K64" s="2559"/>
      <c r="L64" s="2551"/>
      <c r="M64" s="2285"/>
      <c r="N64" s="2037"/>
      <c r="O64" s="2036"/>
      <c r="P64" s="2037"/>
      <c r="Q64" s="2037"/>
      <c r="R64" s="2037"/>
      <c r="S64" s="2037"/>
      <c r="T64" s="2037"/>
      <c r="U64" s="2037"/>
      <c r="V64" s="2037"/>
      <c r="W64" s="2037"/>
      <c r="X64" s="2037"/>
      <c r="Y64" s="2037"/>
      <c r="Z64" s="2037"/>
      <c r="AA64" s="2037"/>
      <c r="AB64" s="2037"/>
      <c r="AC64" s="2037"/>
      <c r="AD64" s="2037"/>
      <c r="AE64" s="2037"/>
      <c r="AF64" s="2555"/>
      <c r="AG64" s="2551"/>
      <c r="AH64" s="2551"/>
      <c r="AI64" s="2555"/>
      <c r="AJ64" s="2551"/>
      <c r="AK64" s="2551"/>
      <c r="AL64" s="1989"/>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9"/>
    </row>
    <row customHeight="1" ht="0.75">
      <c r="A65" s="1170" t="s">
        <v>1198</v>
      </c>
      <c r="B65" s="1170"/>
      <c r="C65" s="1170"/>
      <c r="D65" s="1164"/>
      <c r="E65" s="1174"/>
      <c r="F65" s="2553"/>
      <c r="G65" s="2532"/>
      <c r="H65" s="2557"/>
      <c r="I65" s="2558"/>
      <c r="J65" s="2559"/>
      <c r="K65" s="2559"/>
      <c r="L65" s="2551"/>
      <c r="M65" s="2285"/>
      <c r="N65" s="2560"/>
      <c r="O65" s="2561"/>
      <c r="P65" s="2605"/>
      <c r="Q65" s="2556"/>
      <c r="R65" s="2556"/>
      <c r="S65" s="2556"/>
      <c r="T65" s="2556"/>
      <c r="U65" s="2556"/>
      <c r="V65" s="2556"/>
      <c r="W65" s="2556"/>
      <c r="X65" s="2556"/>
      <c r="Y65" s="2556"/>
      <c r="Z65" s="2038"/>
      <c r="AA65" s="2039"/>
      <c r="AB65" s="2039"/>
      <c r="AC65" s="2040"/>
      <c r="AD65" s="2040"/>
      <c r="AE65" s="2041"/>
      <c r="AF65" s="2555"/>
      <c r="AG65" s="2551"/>
      <c r="AH65" s="2551"/>
      <c r="AI65" s="2555"/>
      <c r="AJ65" s="2551"/>
      <c r="AK65" s="2551"/>
      <c r="AL65" s="1989"/>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9"/>
    </row>
    <row customHeight="1" ht="0.75">
      <c r="A66" s="1170" t="s">
        <v>1198</v>
      </c>
      <c r="B66" s="1170"/>
      <c r="C66" s="1170"/>
      <c r="D66" s="1164"/>
      <c r="E66" s="1174"/>
      <c r="F66" s="2553"/>
      <c r="G66" s="2532"/>
      <c r="H66" s="2557"/>
      <c r="I66" s="2558"/>
      <c r="J66" s="2559"/>
      <c r="K66" s="2559"/>
      <c r="L66" s="2551"/>
      <c r="M66" s="2285"/>
      <c r="N66" s="2560"/>
      <c r="O66" s="2561"/>
      <c r="P66" s="2606"/>
      <c r="Q66" s="2556"/>
      <c r="R66" s="2556"/>
      <c r="S66" s="2556"/>
      <c r="T66" s="2556"/>
      <c r="U66" s="2556"/>
      <c r="V66" s="2556"/>
      <c r="W66" s="2556"/>
      <c r="X66" s="2556"/>
      <c r="Y66" s="2556"/>
      <c r="Z66" s="2042"/>
      <c r="AA66" s="2043"/>
      <c r="AB66" s="2044"/>
      <c r="AC66" s="2045"/>
      <c r="AD66" s="2044"/>
      <c r="AE66" s="2045"/>
      <c r="AF66" s="2555"/>
      <c r="AG66" s="2551"/>
      <c r="AH66" s="2551"/>
      <c r="AI66" s="2555"/>
      <c r="AJ66" s="2551"/>
      <c r="AK66" s="2551"/>
      <c r="AL66" s="1989"/>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9"/>
    </row>
    <row customHeight="1" ht="0.75">
      <c r="A67" s="1170" t="s">
        <v>1198</v>
      </c>
      <c r="B67" s="1170"/>
      <c r="C67" s="1170"/>
      <c r="D67" s="1164"/>
      <c r="E67" s="1174"/>
      <c r="F67" s="2553"/>
      <c r="G67" s="2532"/>
      <c r="H67" s="2557"/>
      <c r="I67" s="2558"/>
      <c r="J67" s="2559"/>
      <c r="K67" s="2559"/>
      <c r="L67" s="2551"/>
      <c r="M67" s="2285"/>
      <c r="N67" s="2560"/>
      <c r="O67" s="2561"/>
      <c r="P67" s="2607"/>
      <c r="Q67" s="2556"/>
      <c r="R67" s="2556"/>
      <c r="S67" s="2556"/>
      <c r="T67" s="2556"/>
      <c r="U67" s="2556"/>
      <c r="V67" s="2556"/>
      <c r="W67" s="2556"/>
      <c r="X67" s="2556"/>
      <c r="Y67" s="2556"/>
      <c r="Z67" s="2038"/>
      <c r="AA67" s="2039"/>
      <c r="AB67" s="2046"/>
      <c r="AC67" s="2040"/>
      <c r="AD67" s="2040"/>
      <c r="AE67" s="2047"/>
      <c r="AF67" s="2555"/>
      <c r="AG67" s="2551"/>
      <c r="AH67" s="2551"/>
      <c r="AI67" s="2555"/>
      <c r="AJ67" s="2551"/>
      <c r="AK67" s="2551"/>
      <c r="AL67" s="1989"/>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9"/>
    </row>
    <row customHeight="1" ht="0.75">
      <c r="A68" s="1170" t="s">
        <v>1198</v>
      </c>
      <c r="B68" s="1170"/>
      <c r="C68" s="1170"/>
      <c r="D68" s="1164"/>
      <c r="E68" s="1174"/>
      <c r="F68" s="2553"/>
      <c r="G68" s="2532"/>
      <c r="H68" s="2557"/>
      <c r="I68" s="2558"/>
      <c r="J68" s="2559"/>
      <c r="K68" s="2559"/>
      <c r="L68" s="2551"/>
      <c r="M68" s="2285"/>
      <c r="N68" s="2039"/>
      <c r="O68" s="2039"/>
      <c r="P68" s="2046"/>
      <c r="Q68" s="2039"/>
      <c r="R68" s="2039"/>
      <c r="S68" s="2039"/>
      <c r="T68" s="2039"/>
      <c r="U68" s="2039"/>
      <c r="V68" s="2039"/>
      <c r="W68" s="2039"/>
      <c r="X68" s="2039"/>
      <c r="Y68" s="2039"/>
      <c r="Z68" s="2039"/>
      <c r="AA68" s="2039"/>
      <c r="AB68" s="2039"/>
      <c r="AC68" s="2039"/>
      <c r="AD68" s="2039"/>
      <c r="AE68" s="2048"/>
      <c r="AF68" s="2555"/>
      <c r="AG68" s="2551"/>
      <c r="AH68" s="2551"/>
      <c r="AI68" s="2555"/>
      <c r="AJ68" s="2551"/>
      <c r="AK68" s="2551"/>
      <c r="AL68" s="1989"/>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9"/>
    </row>
    <row customHeight="1" ht="12">
      <c r="A69" s="1170" t="s">
        <v>1198</v>
      </c>
      <c r="B69" s="1170"/>
      <c r="C69" s="1170"/>
      <c r="D69" s="1164"/>
      <c r="E69" s="1174"/>
      <c r="F69" s="2554"/>
      <c r="G69" s="1194"/>
      <c r="H69" s="1194"/>
      <c r="I69" s="2552" t="s">
        <v>1300</v>
      </c>
      <c r="J69" s="2552"/>
      <c r="K69" s="2552"/>
      <c r="L69" s="1177"/>
      <c r="M69" s="1177"/>
      <c r="N69" s="1178"/>
      <c r="O69" s="1178"/>
      <c r="P69" s="1178"/>
      <c r="Q69" s="1178"/>
      <c r="R69" s="1178"/>
      <c r="S69" s="1178"/>
      <c r="T69" s="1178"/>
      <c r="U69" s="1178"/>
      <c r="V69" s="1178"/>
      <c r="W69" s="1178"/>
      <c r="X69" s="1178"/>
      <c r="Y69" s="1178"/>
      <c r="Z69" s="1178"/>
      <c r="AA69" s="1178"/>
      <c r="AB69" s="1178"/>
      <c r="AC69" s="1178"/>
      <c r="AD69" s="1178"/>
      <c r="AE69" s="1178"/>
      <c r="AF69" s="1178"/>
      <c r="AG69" s="1177"/>
      <c r="AH69" s="1177"/>
      <c r="AI69" s="1178"/>
      <c r="AJ69" s="1177"/>
      <c r="AK69" s="1178"/>
      <c r="AL69" s="1989"/>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9"/>
    </row>
    <row customHeight="1" ht="0.75">
      <c r="A70" s="1170" t="s">
        <v>1198</v>
      </c>
      <c r="B70" s="1170"/>
      <c r="C70" s="1170"/>
      <c r="D70" s="1164"/>
      <c r="E70" s="1174"/>
      <c r="F70" s="2553">
        <v>2027</v>
      </c>
      <c r="G70" s="2532"/>
      <c r="H70" s="2557" t="s">
        <v>514</v>
      </c>
      <c r="I70" s="2558"/>
      <c r="J70" s="2559"/>
      <c r="K70" s="2559"/>
      <c r="L70" s="2551"/>
      <c r="M70" s="2285"/>
      <c r="N70" s="2037"/>
      <c r="O70" s="2036"/>
      <c r="P70" s="2037"/>
      <c r="Q70" s="2037"/>
      <c r="R70" s="2037"/>
      <c r="S70" s="2037"/>
      <c r="T70" s="2037"/>
      <c r="U70" s="2037"/>
      <c r="V70" s="2037"/>
      <c r="W70" s="2037"/>
      <c r="X70" s="2037"/>
      <c r="Y70" s="2037"/>
      <c r="Z70" s="2037"/>
      <c r="AA70" s="2037"/>
      <c r="AB70" s="2037"/>
      <c r="AC70" s="2037"/>
      <c r="AD70" s="2037"/>
      <c r="AE70" s="2037"/>
      <c r="AF70" s="2555"/>
      <c r="AG70" s="2551"/>
      <c r="AH70" s="2551"/>
      <c r="AI70" s="2555"/>
      <c r="AJ70" s="2551"/>
      <c r="AK70" s="2551"/>
      <c r="AL70" s="1989"/>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9"/>
    </row>
    <row customHeight="1" ht="0.75">
      <c r="A71" s="1170" t="s">
        <v>1198</v>
      </c>
      <c r="B71" s="1170"/>
      <c r="C71" s="1170"/>
      <c r="D71" s="1164"/>
      <c r="E71" s="1174"/>
      <c r="F71" s="2553"/>
      <c r="G71" s="2532"/>
      <c r="H71" s="2557"/>
      <c r="I71" s="2558"/>
      <c r="J71" s="2559"/>
      <c r="K71" s="2559"/>
      <c r="L71" s="2551"/>
      <c r="M71" s="2285"/>
      <c r="N71" s="2560"/>
      <c r="O71" s="2561"/>
      <c r="P71" s="2605"/>
      <c r="Q71" s="2556"/>
      <c r="R71" s="2556"/>
      <c r="S71" s="2556"/>
      <c r="T71" s="2556"/>
      <c r="U71" s="2556"/>
      <c r="V71" s="2556"/>
      <c r="W71" s="2556"/>
      <c r="X71" s="2556"/>
      <c r="Y71" s="2556"/>
      <c r="Z71" s="2038"/>
      <c r="AA71" s="2039"/>
      <c r="AB71" s="2039"/>
      <c r="AC71" s="2040"/>
      <c r="AD71" s="2040"/>
      <c r="AE71" s="2041"/>
      <c r="AF71" s="2555"/>
      <c r="AG71" s="2551"/>
      <c r="AH71" s="2551"/>
      <c r="AI71" s="2555"/>
      <c r="AJ71" s="2551"/>
      <c r="AK71" s="2551"/>
      <c r="AL71" s="1989"/>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9"/>
    </row>
    <row customHeight="1" ht="0.75">
      <c r="A72" s="1170" t="s">
        <v>1198</v>
      </c>
      <c r="B72" s="1170"/>
      <c r="C72" s="1170"/>
      <c r="D72" s="1164"/>
      <c r="E72" s="1174"/>
      <c r="F72" s="2553"/>
      <c r="G72" s="2532"/>
      <c r="H72" s="2557"/>
      <c r="I72" s="2558"/>
      <c r="J72" s="2559"/>
      <c r="K72" s="2559"/>
      <c r="L72" s="2551"/>
      <c r="M72" s="2285"/>
      <c r="N72" s="2560"/>
      <c r="O72" s="2561"/>
      <c r="P72" s="2606"/>
      <c r="Q72" s="2556"/>
      <c r="R72" s="2556"/>
      <c r="S72" s="2556"/>
      <c r="T72" s="2556"/>
      <c r="U72" s="2556"/>
      <c r="V72" s="2556"/>
      <c r="W72" s="2556"/>
      <c r="X72" s="2556"/>
      <c r="Y72" s="2556"/>
      <c r="Z72" s="2042"/>
      <c r="AA72" s="2043"/>
      <c r="AB72" s="2044"/>
      <c r="AC72" s="2045"/>
      <c r="AD72" s="2044"/>
      <c r="AE72" s="2045"/>
      <c r="AF72" s="2555"/>
      <c r="AG72" s="2551"/>
      <c r="AH72" s="2551"/>
      <c r="AI72" s="2555"/>
      <c r="AJ72" s="2551"/>
      <c r="AK72" s="2551"/>
      <c r="AL72" s="1989"/>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9"/>
    </row>
    <row customHeight="1" ht="0.75">
      <c r="A73" s="1170" t="s">
        <v>1198</v>
      </c>
      <c r="B73" s="1170"/>
      <c r="C73" s="1170"/>
      <c r="D73" s="1164"/>
      <c r="E73" s="1174"/>
      <c r="F73" s="2553"/>
      <c r="G73" s="2532"/>
      <c r="H73" s="2557"/>
      <c r="I73" s="2558"/>
      <c r="J73" s="2559"/>
      <c r="K73" s="2559"/>
      <c r="L73" s="2551"/>
      <c r="M73" s="2285"/>
      <c r="N73" s="2560"/>
      <c r="O73" s="2561"/>
      <c r="P73" s="2607"/>
      <c r="Q73" s="2556"/>
      <c r="R73" s="2556"/>
      <c r="S73" s="2556"/>
      <c r="T73" s="2556"/>
      <c r="U73" s="2556"/>
      <c r="V73" s="2556"/>
      <c r="W73" s="2556"/>
      <c r="X73" s="2556"/>
      <c r="Y73" s="2556"/>
      <c r="Z73" s="2038"/>
      <c r="AA73" s="2039"/>
      <c r="AB73" s="2046"/>
      <c r="AC73" s="2040"/>
      <c r="AD73" s="2040"/>
      <c r="AE73" s="2047"/>
      <c r="AF73" s="2555"/>
      <c r="AG73" s="2551"/>
      <c r="AH73" s="2551"/>
      <c r="AI73" s="2555"/>
      <c r="AJ73" s="2551"/>
      <c r="AK73" s="2551"/>
      <c r="AL73" s="1989"/>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9"/>
    </row>
    <row customHeight="1" ht="0.75">
      <c r="A74" s="1170" t="s">
        <v>1198</v>
      </c>
      <c r="B74" s="1170"/>
      <c r="C74" s="1170"/>
      <c r="D74" s="1164"/>
      <c r="E74" s="1174"/>
      <c r="F74" s="2553"/>
      <c r="G74" s="2532"/>
      <c r="H74" s="2557"/>
      <c r="I74" s="2558"/>
      <c r="J74" s="2559"/>
      <c r="K74" s="2559"/>
      <c r="L74" s="2551"/>
      <c r="M74" s="2285"/>
      <c r="N74" s="2039"/>
      <c r="O74" s="2039"/>
      <c r="P74" s="2046"/>
      <c r="Q74" s="2039"/>
      <c r="R74" s="2039"/>
      <c r="S74" s="2039"/>
      <c r="T74" s="2039"/>
      <c r="U74" s="2039"/>
      <c r="V74" s="2039"/>
      <c r="W74" s="2039"/>
      <c r="X74" s="2039"/>
      <c r="Y74" s="2039"/>
      <c r="Z74" s="2039"/>
      <c r="AA74" s="2039"/>
      <c r="AB74" s="2039"/>
      <c r="AC74" s="2039"/>
      <c r="AD74" s="2039"/>
      <c r="AE74" s="2048"/>
      <c r="AF74" s="2555"/>
      <c r="AG74" s="2551"/>
      <c r="AH74" s="2551"/>
      <c r="AI74" s="2555"/>
      <c r="AJ74" s="2551"/>
      <c r="AK74" s="2551"/>
      <c r="AL74" s="1989"/>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9"/>
    </row>
    <row customHeight="1" ht="12">
      <c r="A75" s="1170" t="s">
        <v>1198</v>
      </c>
      <c r="B75" s="1170"/>
      <c r="C75" s="1170"/>
      <c r="D75" s="1164"/>
      <c r="E75" s="1174"/>
      <c r="F75" s="2554"/>
      <c r="G75" s="1194"/>
      <c r="H75" s="1194"/>
      <c r="I75" s="2552" t="s">
        <v>1300</v>
      </c>
      <c r="J75" s="2552"/>
      <c r="K75" s="2552"/>
      <c r="L75" s="1177"/>
      <c r="M75" s="1177"/>
      <c r="N75" s="1178"/>
      <c r="O75" s="1178"/>
      <c r="P75" s="1178"/>
      <c r="Q75" s="1178"/>
      <c r="R75" s="1178"/>
      <c r="S75" s="1178"/>
      <c r="T75" s="1178"/>
      <c r="U75" s="1178"/>
      <c r="V75" s="1178"/>
      <c r="W75" s="1178"/>
      <c r="X75" s="1178"/>
      <c r="Y75" s="1178"/>
      <c r="Z75" s="1178"/>
      <c r="AA75" s="1178"/>
      <c r="AB75" s="1178"/>
      <c r="AC75" s="1178"/>
      <c r="AD75" s="1178"/>
      <c r="AE75" s="1178"/>
      <c r="AF75" s="1178"/>
      <c r="AG75" s="1177"/>
      <c r="AH75" s="1177"/>
      <c r="AI75" s="1178"/>
      <c r="AJ75" s="1177"/>
      <c r="AK75" s="1178"/>
      <c r="AL75" s="1989"/>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9"/>
    </row>
    <row customHeight="1" ht="0.75">
      <c r="A76" s="1170" t="s">
        <v>1198</v>
      </c>
      <c r="B76" s="1170"/>
      <c r="C76" s="1170"/>
      <c r="D76" s="1164"/>
      <c r="E76" s="1174"/>
      <c r="F76" s="2553">
        <v>2028</v>
      </c>
      <c r="G76" s="2532"/>
      <c r="H76" s="2557" t="s">
        <v>514</v>
      </c>
      <c r="I76" s="2558"/>
      <c r="J76" s="2559"/>
      <c r="K76" s="2559"/>
      <c r="L76" s="2551"/>
      <c r="M76" s="2285"/>
      <c r="N76" s="2037"/>
      <c r="O76" s="2036"/>
      <c r="P76" s="2037"/>
      <c r="Q76" s="2037"/>
      <c r="R76" s="2037"/>
      <c r="S76" s="2037"/>
      <c r="T76" s="2037"/>
      <c r="U76" s="2037"/>
      <c r="V76" s="2037"/>
      <c r="W76" s="2037"/>
      <c r="X76" s="2037"/>
      <c r="Y76" s="2037"/>
      <c r="Z76" s="2037"/>
      <c r="AA76" s="2037"/>
      <c r="AB76" s="2037"/>
      <c r="AC76" s="2037"/>
      <c r="AD76" s="2037"/>
      <c r="AE76" s="2037"/>
      <c r="AF76" s="2555"/>
      <c r="AG76" s="2551"/>
      <c r="AH76" s="2551"/>
      <c r="AI76" s="2555"/>
      <c r="AJ76" s="2551"/>
      <c r="AK76" s="2551"/>
      <c r="AL76" s="1989"/>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9"/>
    </row>
    <row customHeight="1" ht="0.75">
      <c r="A77" s="1170" t="s">
        <v>1198</v>
      </c>
      <c r="B77" s="1170"/>
      <c r="C77" s="1170"/>
      <c r="D77" s="1164"/>
      <c r="E77" s="1174"/>
      <c r="F77" s="2553"/>
      <c r="G77" s="2532"/>
      <c r="H77" s="2557"/>
      <c r="I77" s="2558"/>
      <c r="J77" s="2559"/>
      <c r="K77" s="2559"/>
      <c r="L77" s="2551"/>
      <c r="M77" s="2285"/>
      <c r="N77" s="2560"/>
      <c r="O77" s="2561"/>
      <c r="P77" s="2605"/>
      <c r="Q77" s="2556"/>
      <c r="R77" s="2556"/>
      <c r="S77" s="2556"/>
      <c r="T77" s="2556"/>
      <c r="U77" s="2556"/>
      <c r="V77" s="2556"/>
      <c r="W77" s="2556"/>
      <c r="X77" s="2556"/>
      <c r="Y77" s="2556"/>
      <c r="Z77" s="2038"/>
      <c r="AA77" s="2039"/>
      <c r="AB77" s="2039"/>
      <c r="AC77" s="2040"/>
      <c r="AD77" s="2040"/>
      <c r="AE77" s="2041"/>
      <c r="AF77" s="2555"/>
      <c r="AG77" s="2551"/>
      <c r="AH77" s="2551"/>
      <c r="AI77" s="2555"/>
      <c r="AJ77" s="2551"/>
      <c r="AK77" s="2551"/>
      <c r="AL77" s="1989"/>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9"/>
    </row>
    <row customHeight="1" ht="0.75">
      <c r="A78" s="1170" t="s">
        <v>1198</v>
      </c>
      <c r="B78" s="1170"/>
      <c r="C78" s="1170"/>
      <c r="D78" s="1164"/>
      <c r="E78" s="1174"/>
      <c r="F78" s="2553"/>
      <c r="G78" s="2532"/>
      <c r="H78" s="2557"/>
      <c r="I78" s="2558"/>
      <c r="J78" s="2559"/>
      <c r="K78" s="2559"/>
      <c r="L78" s="2551"/>
      <c r="M78" s="2285"/>
      <c r="N78" s="2560"/>
      <c r="O78" s="2561"/>
      <c r="P78" s="2606"/>
      <c r="Q78" s="2556"/>
      <c r="R78" s="2556"/>
      <c r="S78" s="2556"/>
      <c r="T78" s="2556"/>
      <c r="U78" s="2556"/>
      <c r="V78" s="2556"/>
      <c r="W78" s="2556"/>
      <c r="X78" s="2556"/>
      <c r="Y78" s="2556"/>
      <c r="Z78" s="2042"/>
      <c r="AA78" s="2043"/>
      <c r="AB78" s="2044"/>
      <c r="AC78" s="2045"/>
      <c r="AD78" s="2044"/>
      <c r="AE78" s="2045"/>
      <c r="AF78" s="2555"/>
      <c r="AG78" s="2551"/>
      <c r="AH78" s="2551"/>
      <c r="AI78" s="2555"/>
      <c r="AJ78" s="2551"/>
      <c r="AK78" s="2551"/>
      <c r="AL78" s="1989"/>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9"/>
    </row>
    <row customHeight="1" ht="0.75">
      <c r="A79" s="1170" t="s">
        <v>1198</v>
      </c>
      <c r="B79" s="1170"/>
      <c r="C79" s="1170"/>
      <c r="D79" s="1164"/>
      <c r="E79" s="1174"/>
      <c r="F79" s="2553"/>
      <c r="G79" s="2532"/>
      <c r="H79" s="2557"/>
      <c r="I79" s="2558"/>
      <c r="J79" s="2559"/>
      <c r="K79" s="2559"/>
      <c r="L79" s="2551"/>
      <c r="M79" s="2285"/>
      <c r="N79" s="2560"/>
      <c r="O79" s="2561"/>
      <c r="P79" s="2607"/>
      <c r="Q79" s="2556"/>
      <c r="R79" s="2556"/>
      <c r="S79" s="2556"/>
      <c r="T79" s="2556"/>
      <c r="U79" s="2556"/>
      <c r="V79" s="2556"/>
      <c r="W79" s="2556"/>
      <c r="X79" s="2556"/>
      <c r="Y79" s="2556"/>
      <c r="Z79" s="2038"/>
      <c r="AA79" s="2039"/>
      <c r="AB79" s="2046"/>
      <c r="AC79" s="2040"/>
      <c r="AD79" s="2040"/>
      <c r="AE79" s="2047"/>
      <c r="AF79" s="2555"/>
      <c r="AG79" s="2551"/>
      <c r="AH79" s="2551"/>
      <c r="AI79" s="2555"/>
      <c r="AJ79" s="2551"/>
      <c r="AK79" s="2551"/>
      <c r="AL79" s="1989"/>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9"/>
    </row>
    <row customHeight="1" ht="0.75">
      <c r="A80" s="1170" t="s">
        <v>1198</v>
      </c>
      <c r="B80" s="1170"/>
      <c r="C80" s="1170"/>
      <c r="D80" s="1164"/>
      <c r="E80" s="1174"/>
      <c r="F80" s="2553"/>
      <c r="G80" s="2532"/>
      <c r="H80" s="2557"/>
      <c r="I80" s="2558"/>
      <c r="J80" s="2559"/>
      <c r="K80" s="2559"/>
      <c r="L80" s="2551"/>
      <c r="M80" s="2285"/>
      <c r="N80" s="2039"/>
      <c r="O80" s="2039"/>
      <c r="P80" s="2046"/>
      <c r="Q80" s="2039"/>
      <c r="R80" s="2039"/>
      <c r="S80" s="2039"/>
      <c r="T80" s="2039"/>
      <c r="U80" s="2039"/>
      <c r="V80" s="2039"/>
      <c r="W80" s="2039"/>
      <c r="X80" s="2039"/>
      <c r="Y80" s="2039"/>
      <c r="Z80" s="2039"/>
      <c r="AA80" s="2039"/>
      <c r="AB80" s="2039"/>
      <c r="AC80" s="2039"/>
      <c r="AD80" s="2039"/>
      <c r="AE80" s="2048"/>
      <c r="AF80" s="2555"/>
      <c r="AG80" s="2551"/>
      <c r="AH80" s="2551"/>
      <c r="AI80" s="2555"/>
      <c r="AJ80" s="2551"/>
      <c r="AK80" s="2551"/>
      <c r="AL80" s="1989"/>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9"/>
    </row>
    <row customHeight="1" ht="12">
      <c r="A81" s="1170" t="s">
        <v>1198</v>
      </c>
      <c r="B81" s="1170"/>
      <c r="C81" s="1170"/>
      <c r="D81" s="1164"/>
      <c r="E81" s="1174"/>
      <c r="F81" s="2554"/>
      <c r="G81" s="1194"/>
      <c r="H81" s="1194"/>
      <c r="I81" s="2552" t="s">
        <v>1300</v>
      </c>
      <c r="J81" s="2552"/>
      <c r="K81" s="2552"/>
      <c r="L81" s="1177"/>
      <c r="M81" s="1177"/>
      <c r="N81" s="1178"/>
      <c r="O81" s="1178"/>
      <c r="P81" s="1178"/>
      <c r="Q81" s="1178"/>
      <c r="R81" s="1178"/>
      <c r="S81" s="1178"/>
      <c r="T81" s="1178"/>
      <c r="U81" s="1178"/>
      <c r="V81" s="1178"/>
      <c r="W81" s="1178"/>
      <c r="X81" s="1178"/>
      <c r="Y81" s="1178"/>
      <c r="Z81" s="1178"/>
      <c r="AA81" s="1178"/>
      <c r="AB81" s="1178"/>
      <c r="AC81" s="1178"/>
      <c r="AD81" s="1178"/>
      <c r="AE81" s="1178"/>
      <c r="AF81" s="1178"/>
      <c r="AG81" s="1177"/>
      <c r="AH81" s="1177"/>
      <c r="AI81" s="1178"/>
      <c r="AJ81" s="1177"/>
      <c r="AK81" s="1178"/>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9"/>
    </row>
    <row customHeight="1" ht="21">
      <c r="A82" s="1171" t="s">
        <v>1209</v>
      </c>
      <c r="B82" s="1170"/>
      <c r="C82" s="1170"/>
      <c r="D82" s="1164"/>
      <c r="E82" s="1174" t="s">
        <v>22</v>
      </c>
      <c r="F82" s="1126" t="str">
        <f>INDEX(IP_MAIN_LIST_NAME_IP,MATCH(A82,IP_MAIN_LIST_IP_ID,0))&amp;" ("&amp;INDEX(IP_MAIN_START_DATE,MATCH(A82,IP_MAIN_LIST_IP_ID,0))&amp;"-"&amp;INDEX(IP_MAIN_END_DATE,MATCH(A82,IP_MAIN_LIST_IP_ID,0))&amp;")"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82" s="1127"/>
      <c r="H82" s="1127"/>
      <c r="I82" s="1189"/>
      <c r="J82" s="1189"/>
      <c r="K82" s="1190"/>
      <c r="L82" s="1190"/>
      <c r="M82" s="1190"/>
      <c r="N82" s="1191"/>
      <c r="O82" s="1191"/>
      <c r="P82" s="1191"/>
      <c r="Q82" s="1191"/>
      <c r="R82" s="1191"/>
      <c r="S82" s="1191"/>
      <c r="T82" s="1191"/>
      <c r="U82" s="1191"/>
      <c r="V82" s="1191"/>
      <c r="W82" s="1191"/>
      <c r="X82" s="1191"/>
      <c r="Y82" s="1191"/>
      <c r="Z82" s="1191"/>
      <c r="AA82" s="1191"/>
      <c r="AB82" s="1191"/>
      <c r="AC82" s="1191"/>
      <c r="AD82" s="1191"/>
      <c r="AE82" s="1192"/>
      <c r="AF82" s="1190"/>
      <c r="AG82" s="1190"/>
      <c r="AH82" s="1190"/>
      <c r="AI82" s="1190"/>
      <c r="AJ82" s="1190"/>
      <c r="AK82" s="1190"/>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9"/>
    </row>
    <row customHeight="1" ht="0.75">
      <c r="A83" s="1170" t="s">
        <v>1209</v>
      </c>
      <c r="B83" s="1170"/>
      <c r="C83" s="1170"/>
      <c r="D83" s="1164"/>
      <c r="E83" s="1174"/>
      <c r="F83" s="2553">
        <v>2017</v>
      </c>
      <c r="G83" s="2532"/>
      <c r="H83" s="2557" t="s">
        <v>514</v>
      </c>
      <c r="I83" s="2558"/>
      <c r="J83" s="2559"/>
      <c r="K83" s="2559"/>
      <c r="L83" s="2551"/>
      <c r="M83" s="2285"/>
      <c r="N83" s="2037"/>
      <c r="O83" s="2036"/>
      <c r="P83" s="2037"/>
      <c r="Q83" s="2037"/>
      <c r="R83" s="2037"/>
      <c r="S83" s="2037"/>
      <c r="T83" s="2037"/>
      <c r="U83" s="2037"/>
      <c r="V83" s="2037"/>
      <c r="W83" s="2037"/>
      <c r="X83" s="2037"/>
      <c r="Y83" s="2037"/>
      <c r="Z83" s="2037"/>
      <c r="AA83" s="2037"/>
      <c r="AB83" s="2037"/>
      <c r="AC83" s="2037"/>
      <c r="AD83" s="2037"/>
      <c r="AE83" s="2037"/>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9"/>
    </row>
    <row customHeight="1" ht="0.75">
      <c r="A84" s="1170" t="s">
        <v>1209</v>
      </c>
      <c r="B84" s="1170"/>
      <c r="C84" s="1170"/>
      <c r="D84" s="1164"/>
      <c r="E84" s="1174"/>
      <c r="F84" s="2553"/>
      <c r="G84" s="2532"/>
      <c r="H84" s="2557"/>
      <c r="I84" s="2558"/>
      <c r="J84" s="2559"/>
      <c r="K84" s="2559"/>
      <c r="L84" s="2551"/>
      <c r="M84" s="2285"/>
      <c r="N84" s="2560"/>
      <c r="O84" s="2561"/>
      <c r="P84" s="2605"/>
      <c r="Q84" s="2556"/>
      <c r="R84" s="2556"/>
      <c r="S84" s="2556"/>
      <c r="T84" s="2556"/>
      <c r="U84" s="2556"/>
      <c r="V84" s="2556"/>
      <c r="W84" s="2556"/>
      <c r="X84" s="2556"/>
      <c r="Y84" s="2556"/>
      <c r="Z84" s="2038"/>
      <c r="AA84" s="2039"/>
      <c r="AB84" s="2039"/>
      <c r="AC84" s="2040"/>
      <c r="AD84" s="2040"/>
      <c r="AE84" s="2041"/>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9"/>
    </row>
    <row customHeight="1" ht="0.75">
      <c r="A85" s="1170" t="s">
        <v>1209</v>
      </c>
      <c r="B85" s="1170"/>
      <c r="C85" s="1170"/>
      <c r="D85" s="1164"/>
      <c r="E85" s="1174"/>
      <c r="F85" s="2553"/>
      <c r="G85" s="2532"/>
      <c r="H85" s="2557"/>
      <c r="I85" s="2558"/>
      <c r="J85" s="2559"/>
      <c r="K85" s="2559"/>
      <c r="L85" s="2551"/>
      <c r="M85" s="2285"/>
      <c r="N85" s="2560"/>
      <c r="O85" s="2561"/>
      <c r="P85" s="2606"/>
      <c r="Q85" s="2556"/>
      <c r="R85" s="2556"/>
      <c r="S85" s="2556"/>
      <c r="T85" s="2556"/>
      <c r="U85" s="2556"/>
      <c r="V85" s="2556"/>
      <c r="W85" s="2556"/>
      <c r="X85" s="2556"/>
      <c r="Y85" s="2556"/>
      <c r="Z85" s="2042"/>
      <c r="AA85" s="2043"/>
      <c r="AB85" s="2044"/>
      <c r="AC85" s="2045"/>
      <c r="AD85" s="2044"/>
      <c r="AE85" s="2045"/>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9"/>
    </row>
    <row customHeight="1" ht="0.75">
      <c r="A86" s="1170" t="s">
        <v>1209</v>
      </c>
      <c r="B86" s="1170"/>
      <c r="C86" s="1170"/>
      <c r="D86" s="1164"/>
      <c r="E86" s="1174"/>
      <c r="F86" s="2553"/>
      <c r="G86" s="2532"/>
      <c r="H86" s="2557"/>
      <c r="I86" s="2558"/>
      <c r="J86" s="2559"/>
      <c r="K86" s="2559"/>
      <c r="L86" s="2551"/>
      <c r="M86" s="2285"/>
      <c r="N86" s="2560"/>
      <c r="O86" s="2561"/>
      <c r="P86" s="2607"/>
      <c r="Q86" s="2556"/>
      <c r="R86" s="2556"/>
      <c r="S86" s="2556"/>
      <c r="T86" s="2556"/>
      <c r="U86" s="2556"/>
      <c r="V86" s="2556"/>
      <c r="W86" s="2556"/>
      <c r="X86" s="2556"/>
      <c r="Y86" s="2556"/>
      <c r="Z86" s="2038"/>
      <c r="AA86" s="2039"/>
      <c r="AB86" s="2046"/>
      <c r="AC86" s="2040"/>
      <c r="AD86" s="2040"/>
      <c r="AE86" s="2047"/>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9"/>
    </row>
    <row customHeight="1" ht="0.75">
      <c r="A87" s="1170" t="s">
        <v>1209</v>
      </c>
      <c r="B87" s="1170"/>
      <c r="C87" s="1170"/>
      <c r="D87" s="1164"/>
      <c r="E87" s="1174"/>
      <c r="F87" s="2553"/>
      <c r="G87" s="2532"/>
      <c r="H87" s="2557"/>
      <c r="I87" s="2558"/>
      <c r="J87" s="2559"/>
      <c r="K87" s="2559"/>
      <c r="L87" s="2551"/>
      <c r="M87" s="2285"/>
      <c r="N87" s="2039"/>
      <c r="O87" s="2039"/>
      <c r="P87" s="2046"/>
      <c r="Q87" s="2039"/>
      <c r="R87" s="2039"/>
      <c r="S87" s="2039"/>
      <c r="T87" s="2039"/>
      <c r="U87" s="2039"/>
      <c r="V87" s="2039"/>
      <c r="W87" s="2039"/>
      <c r="X87" s="2039"/>
      <c r="Y87" s="2039"/>
      <c r="Z87" s="2039"/>
      <c r="AA87" s="2039"/>
      <c r="AB87" s="2039"/>
      <c r="AC87" s="2039"/>
      <c r="AD87" s="2039"/>
      <c r="AE87" s="2048"/>
      <c r="AF87" s="2555"/>
      <c r="AG87" s="2551"/>
      <c r="AH87" s="2551"/>
      <c r="AI87" s="2555"/>
      <c r="AJ87" s="2551"/>
      <c r="AK87" s="2551"/>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9"/>
    </row>
    <row customHeight="1" ht="12">
      <c r="A88" s="1170" t="s">
        <v>1209</v>
      </c>
      <c r="B88" s="1170"/>
      <c r="C88" s="1170"/>
      <c r="D88" s="1164"/>
      <c r="E88" s="1174"/>
      <c r="F88" s="2554"/>
      <c r="G88" s="1194"/>
      <c r="H88" s="1194"/>
      <c r="I88" s="2552" t="s">
        <v>1300</v>
      </c>
      <c r="J88" s="2552"/>
      <c r="K88" s="2552"/>
      <c r="L88" s="1177"/>
      <c r="M88" s="1177"/>
      <c r="N88" s="1178"/>
      <c r="O88" s="1178"/>
      <c r="P88" s="1178"/>
      <c r="Q88" s="1178"/>
      <c r="R88" s="1178"/>
      <c r="S88" s="1178"/>
      <c r="T88" s="1178"/>
      <c r="U88" s="1178"/>
      <c r="V88" s="1178"/>
      <c r="W88" s="1178"/>
      <c r="X88" s="1178"/>
      <c r="Y88" s="1178"/>
      <c r="Z88" s="1178"/>
      <c r="AA88" s="1178"/>
      <c r="AB88" s="1178"/>
      <c r="AC88" s="1178"/>
      <c r="AD88" s="1178"/>
      <c r="AE88" s="1178"/>
      <c r="AF88" s="1178"/>
      <c r="AG88" s="1177"/>
      <c r="AH88" s="1177"/>
      <c r="AI88" s="1178"/>
      <c r="AJ88" s="1177"/>
      <c r="AK88" s="1178"/>
      <c r="AL88" s="1989"/>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9"/>
    </row>
    <row customHeight="1" ht="0.75">
      <c r="A89" s="1170" t="s">
        <v>1209</v>
      </c>
      <c r="B89" s="1170"/>
      <c r="C89" s="1170"/>
      <c r="D89" s="1164"/>
      <c r="E89" s="1174"/>
      <c r="F89" s="2553">
        <v>2018</v>
      </c>
      <c r="G89" s="2532"/>
      <c r="H89" s="2557" t="s">
        <v>514</v>
      </c>
      <c r="I89" s="2558"/>
      <c r="J89" s="2559"/>
      <c r="K89" s="2559"/>
      <c r="L89" s="2551"/>
      <c r="M89" s="2285"/>
      <c r="N89" s="2037"/>
      <c r="O89" s="2036"/>
      <c r="P89" s="2037"/>
      <c r="Q89" s="2037"/>
      <c r="R89" s="2037"/>
      <c r="S89" s="2037"/>
      <c r="T89" s="2037"/>
      <c r="U89" s="2037"/>
      <c r="V89" s="2037"/>
      <c r="W89" s="2037"/>
      <c r="X89" s="2037"/>
      <c r="Y89" s="2037"/>
      <c r="Z89" s="2037"/>
      <c r="AA89" s="2037"/>
      <c r="AB89" s="2037"/>
      <c r="AC89" s="2037"/>
      <c r="AD89" s="2037"/>
      <c r="AE89" s="2037"/>
      <c r="AF89" s="2555"/>
      <c r="AG89" s="2551"/>
      <c r="AH89" s="2551"/>
      <c r="AI89" s="2555"/>
      <c r="AJ89" s="2551"/>
      <c r="AK89" s="2551"/>
      <c r="AL89" s="1989"/>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9"/>
    </row>
    <row customHeight="1" ht="0.75">
      <c r="A90" s="1170" t="s">
        <v>1209</v>
      </c>
      <c r="B90" s="1170"/>
      <c r="C90" s="1170"/>
      <c r="D90" s="1164"/>
      <c r="E90" s="1174"/>
      <c r="F90" s="2553"/>
      <c r="G90" s="2532"/>
      <c r="H90" s="2557"/>
      <c r="I90" s="2558"/>
      <c r="J90" s="2559"/>
      <c r="K90" s="2559"/>
      <c r="L90" s="2551"/>
      <c r="M90" s="2285"/>
      <c r="N90" s="2560"/>
      <c r="O90" s="2561"/>
      <c r="P90" s="2605"/>
      <c r="Q90" s="2556"/>
      <c r="R90" s="2556"/>
      <c r="S90" s="2556"/>
      <c r="T90" s="2556"/>
      <c r="U90" s="2556"/>
      <c r="V90" s="2556"/>
      <c r="W90" s="2556"/>
      <c r="X90" s="2556"/>
      <c r="Y90" s="2556"/>
      <c r="Z90" s="2038"/>
      <c r="AA90" s="2039"/>
      <c r="AB90" s="2039"/>
      <c r="AC90" s="2040"/>
      <c r="AD90" s="2040"/>
      <c r="AE90" s="2041"/>
      <c r="AF90" s="2555"/>
      <c r="AG90" s="2551"/>
      <c r="AH90" s="2551"/>
      <c r="AI90" s="2555"/>
      <c r="AJ90" s="2551"/>
      <c r="AK90" s="2551"/>
      <c r="AL90" s="1989"/>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9"/>
    </row>
    <row customHeight="1" ht="0.75">
      <c r="A91" s="1170" t="s">
        <v>1209</v>
      </c>
      <c r="B91" s="1170"/>
      <c r="C91" s="1170"/>
      <c r="D91" s="1164"/>
      <c r="E91" s="1174"/>
      <c r="F91" s="2553"/>
      <c r="G91" s="2532"/>
      <c r="H91" s="2557"/>
      <c r="I91" s="2558"/>
      <c r="J91" s="2559"/>
      <c r="K91" s="2559"/>
      <c r="L91" s="2551"/>
      <c r="M91" s="2285"/>
      <c r="N91" s="2560"/>
      <c r="O91" s="2561"/>
      <c r="P91" s="2606"/>
      <c r="Q91" s="2556"/>
      <c r="R91" s="2556"/>
      <c r="S91" s="2556"/>
      <c r="T91" s="2556"/>
      <c r="U91" s="2556"/>
      <c r="V91" s="2556"/>
      <c r="W91" s="2556"/>
      <c r="X91" s="2556"/>
      <c r="Y91" s="2556"/>
      <c r="Z91" s="2042"/>
      <c r="AA91" s="2043"/>
      <c r="AB91" s="2044"/>
      <c r="AC91" s="2045"/>
      <c r="AD91" s="2044"/>
      <c r="AE91" s="2045"/>
      <c r="AF91" s="2555"/>
      <c r="AG91" s="2551"/>
      <c r="AH91" s="2551"/>
      <c r="AI91" s="2555"/>
      <c r="AJ91" s="2551"/>
      <c r="AK91" s="2551"/>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9"/>
    </row>
    <row customHeight="1" ht="0.75">
      <c r="A92" s="1170" t="s">
        <v>1209</v>
      </c>
      <c r="B92" s="1170"/>
      <c r="C92" s="1170"/>
      <c r="D92" s="1164"/>
      <c r="E92" s="1174"/>
      <c r="F92" s="2553"/>
      <c r="G92" s="2532"/>
      <c r="H92" s="2557"/>
      <c r="I92" s="2558"/>
      <c r="J92" s="2559"/>
      <c r="K92" s="2559"/>
      <c r="L92" s="2551"/>
      <c r="M92" s="2285"/>
      <c r="N92" s="2560"/>
      <c r="O92" s="2561"/>
      <c r="P92" s="2607"/>
      <c r="Q92" s="2556"/>
      <c r="R92" s="2556"/>
      <c r="S92" s="2556"/>
      <c r="T92" s="2556"/>
      <c r="U92" s="2556"/>
      <c r="V92" s="2556"/>
      <c r="W92" s="2556"/>
      <c r="X92" s="2556"/>
      <c r="Y92" s="2556"/>
      <c r="Z92" s="2038"/>
      <c r="AA92" s="2039"/>
      <c r="AB92" s="2046"/>
      <c r="AC92" s="2040"/>
      <c r="AD92" s="2040"/>
      <c r="AE92" s="2047"/>
      <c r="AF92" s="2555"/>
      <c r="AG92" s="2551"/>
      <c r="AH92" s="2551"/>
      <c r="AI92" s="2555"/>
      <c r="AJ92" s="2551"/>
      <c r="AK92" s="2551"/>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9"/>
    </row>
    <row customHeight="1" ht="0.75">
      <c r="A93" s="1170" t="s">
        <v>1209</v>
      </c>
      <c r="B93" s="1170"/>
      <c r="C93" s="1170"/>
      <c r="D93" s="1164"/>
      <c r="E93" s="1174"/>
      <c r="F93" s="2553"/>
      <c r="G93" s="2532"/>
      <c r="H93" s="2557"/>
      <c r="I93" s="2558"/>
      <c r="J93" s="2559"/>
      <c r="K93" s="2559"/>
      <c r="L93" s="2551"/>
      <c r="M93" s="2285"/>
      <c r="N93" s="2039"/>
      <c r="O93" s="2039"/>
      <c r="P93" s="2046"/>
      <c r="Q93" s="2039"/>
      <c r="R93" s="2039"/>
      <c r="S93" s="2039"/>
      <c r="T93" s="2039"/>
      <c r="U93" s="2039"/>
      <c r="V93" s="2039"/>
      <c r="W93" s="2039"/>
      <c r="X93" s="2039"/>
      <c r="Y93" s="2039"/>
      <c r="Z93" s="2039"/>
      <c r="AA93" s="2039"/>
      <c r="AB93" s="2039"/>
      <c r="AC93" s="2039"/>
      <c r="AD93" s="2039"/>
      <c r="AE93" s="2048"/>
      <c r="AF93" s="2555"/>
      <c r="AG93" s="2551"/>
      <c r="AH93" s="2551"/>
      <c r="AI93" s="2555"/>
      <c r="AJ93" s="2551"/>
      <c r="AK93" s="2551"/>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9"/>
    </row>
    <row customHeight="1" ht="12">
      <c r="A94" s="1170" t="s">
        <v>1209</v>
      </c>
      <c r="B94" s="1170"/>
      <c r="C94" s="1170"/>
      <c r="D94" s="1164"/>
      <c r="E94" s="1174"/>
      <c r="F94" s="2554"/>
      <c r="G94" s="1194"/>
      <c r="H94" s="1194"/>
      <c r="I94" s="2552" t="s">
        <v>1300</v>
      </c>
      <c r="J94" s="2552"/>
      <c r="K94" s="2552"/>
      <c r="L94" s="1177"/>
      <c r="M94" s="1177"/>
      <c r="N94" s="1178"/>
      <c r="O94" s="1178"/>
      <c r="P94" s="1178"/>
      <c r="Q94" s="1178"/>
      <c r="R94" s="1178"/>
      <c r="S94" s="1178"/>
      <c r="T94" s="1178"/>
      <c r="U94" s="1178"/>
      <c r="V94" s="1178"/>
      <c r="W94" s="1178"/>
      <c r="X94" s="1178"/>
      <c r="Y94" s="1178"/>
      <c r="Z94" s="1178"/>
      <c r="AA94" s="1178"/>
      <c r="AB94" s="1178"/>
      <c r="AC94" s="1178"/>
      <c r="AD94" s="1178"/>
      <c r="AE94" s="1178"/>
      <c r="AF94" s="1178"/>
      <c r="AG94" s="1177"/>
      <c r="AH94" s="1177"/>
      <c r="AI94" s="1178"/>
      <c r="AJ94" s="1177"/>
      <c r="AK94" s="1178"/>
      <c r="AL94" s="1989"/>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9"/>
    </row>
    <row customHeight="1" ht="0.75">
      <c r="A95" s="1170" t="s">
        <v>1209</v>
      </c>
      <c r="B95" s="1170"/>
      <c r="C95" s="1170"/>
      <c r="D95" s="1164"/>
      <c r="E95" s="1174"/>
      <c r="F95" s="2553">
        <v>2019</v>
      </c>
      <c r="G95" s="2532"/>
      <c r="H95" s="2557" t="s">
        <v>514</v>
      </c>
      <c r="I95" s="2558"/>
      <c r="J95" s="2559"/>
      <c r="K95" s="2559"/>
      <c r="L95" s="2551"/>
      <c r="M95" s="2285"/>
      <c r="N95" s="2037"/>
      <c r="O95" s="2036"/>
      <c r="P95" s="2037"/>
      <c r="Q95" s="2037"/>
      <c r="R95" s="2037"/>
      <c r="S95" s="2037"/>
      <c r="T95" s="2037"/>
      <c r="U95" s="2037"/>
      <c r="V95" s="2037"/>
      <c r="W95" s="2037"/>
      <c r="X95" s="2037"/>
      <c r="Y95" s="2037"/>
      <c r="Z95" s="2037"/>
      <c r="AA95" s="2037"/>
      <c r="AB95" s="2037"/>
      <c r="AC95" s="2037"/>
      <c r="AD95" s="2037"/>
      <c r="AE95" s="2037"/>
      <c r="AF95" s="2555"/>
      <c r="AG95" s="2551"/>
      <c r="AH95" s="2551"/>
      <c r="AI95" s="2555"/>
      <c r="AJ95" s="2551"/>
      <c r="AK95" s="2551"/>
      <c r="AL95" s="1989"/>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9"/>
    </row>
    <row customHeight="1" ht="0.75">
      <c r="A96" s="1170" t="s">
        <v>1209</v>
      </c>
      <c r="B96" s="1170"/>
      <c r="C96" s="1170"/>
      <c r="D96" s="1164"/>
      <c r="E96" s="1174"/>
      <c r="F96" s="2553"/>
      <c r="G96" s="2532"/>
      <c r="H96" s="2557"/>
      <c r="I96" s="2558"/>
      <c r="J96" s="2559"/>
      <c r="K96" s="2559"/>
      <c r="L96" s="2551"/>
      <c r="M96" s="2285"/>
      <c r="N96" s="2560"/>
      <c r="O96" s="2561"/>
      <c r="P96" s="2605"/>
      <c r="Q96" s="2556"/>
      <c r="R96" s="2556"/>
      <c r="S96" s="2556"/>
      <c r="T96" s="2556"/>
      <c r="U96" s="2556"/>
      <c r="V96" s="2556"/>
      <c r="W96" s="2556"/>
      <c r="X96" s="2556"/>
      <c r="Y96" s="2556"/>
      <c r="Z96" s="2038"/>
      <c r="AA96" s="2039"/>
      <c r="AB96" s="2039"/>
      <c r="AC96" s="2040"/>
      <c r="AD96" s="2040"/>
      <c r="AE96" s="2041"/>
      <c r="AF96" s="2555"/>
      <c r="AG96" s="2551"/>
      <c r="AH96" s="2551"/>
      <c r="AI96" s="2555"/>
      <c r="AJ96" s="2551"/>
      <c r="AK96" s="2551"/>
      <c r="AL96" s="1989"/>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9"/>
    </row>
    <row customHeight="1" ht="0.75">
      <c r="A97" s="1170" t="s">
        <v>1209</v>
      </c>
      <c r="B97" s="1170"/>
      <c r="C97" s="1170"/>
      <c r="D97" s="1164"/>
      <c r="E97" s="1174"/>
      <c r="F97" s="2553"/>
      <c r="G97" s="2532"/>
      <c r="H97" s="2557"/>
      <c r="I97" s="2558"/>
      <c r="J97" s="2559"/>
      <c r="K97" s="2559"/>
      <c r="L97" s="2551"/>
      <c r="M97" s="2285"/>
      <c r="N97" s="2560"/>
      <c r="O97" s="2561"/>
      <c r="P97" s="2606"/>
      <c r="Q97" s="2556"/>
      <c r="R97" s="2556"/>
      <c r="S97" s="2556"/>
      <c r="T97" s="2556"/>
      <c r="U97" s="2556"/>
      <c r="V97" s="2556"/>
      <c r="W97" s="2556"/>
      <c r="X97" s="2556"/>
      <c r="Y97" s="2556"/>
      <c r="Z97" s="2042"/>
      <c r="AA97" s="2043"/>
      <c r="AB97" s="2044"/>
      <c r="AC97" s="2045"/>
      <c r="AD97" s="2044"/>
      <c r="AE97" s="2045"/>
      <c r="AF97" s="2555"/>
      <c r="AG97" s="2551"/>
      <c r="AH97" s="2551"/>
      <c r="AI97" s="2555"/>
      <c r="AJ97" s="2551"/>
      <c r="AK97" s="2551"/>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9"/>
    </row>
    <row customHeight="1" ht="0.75">
      <c r="A98" s="1170" t="s">
        <v>1209</v>
      </c>
      <c r="B98" s="1170"/>
      <c r="C98" s="1170"/>
      <c r="D98" s="1164"/>
      <c r="E98" s="1174"/>
      <c r="F98" s="2553"/>
      <c r="G98" s="2532"/>
      <c r="H98" s="2557"/>
      <c r="I98" s="2558"/>
      <c r="J98" s="2559"/>
      <c r="K98" s="2559"/>
      <c r="L98" s="2551"/>
      <c r="M98" s="2285"/>
      <c r="N98" s="2560"/>
      <c r="O98" s="2561"/>
      <c r="P98" s="2607"/>
      <c r="Q98" s="2556"/>
      <c r="R98" s="2556"/>
      <c r="S98" s="2556"/>
      <c r="T98" s="2556"/>
      <c r="U98" s="2556"/>
      <c r="V98" s="2556"/>
      <c r="W98" s="2556"/>
      <c r="X98" s="2556"/>
      <c r="Y98" s="2556"/>
      <c r="Z98" s="2038"/>
      <c r="AA98" s="2039"/>
      <c r="AB98" s="2046"/>
      <c r="AC98" s="2040"/>
      <c r="AD98" s="2040"/>
      <c r="AE98" s="2047"/>
      <c r="AF98" s="2555"/>
      <c r="AG98" s="2551"/>
      <c r="AH98" s="2551"/>
      <c r="AI98" s="2555"/>
      <c r="AJ98" s="2551"/>
      <c r="AK98" s="2551"/>
      <c r="AL98" s="1989"/>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9"/>
    </row>
    <row customHeight="1" ht="0.75">
      <c r="A99" s="1170" t="s">
        <v>1209</v>
      </c>
      <c r="B99" s="1170"/>
      <c r="C99" s="1170"/>
      <c r="D99" s="1164"/>
      <c r="E99" s="1174"/>
      <c r="F99" s="2553"/>
      <c r="G99" s="2532"/>
      <c r="H99" s="2557"/>
      <c r="I99" s="2558"/>
      <c r="J99" s="2559"/>
      <c r="K99" s="2559"/>
      <c r="L99" s="2551"/>
      <c r="M99" s="2285"/>
      <c r="N99" s="2039"/>
      <c r="O99" s="2039"/>
      <c r="P99" s="2046"/>
      <c r="Q99" s="2039"/>
      <c r="R99" s="2039"/>
      <c r="S99" s="2039"/>
      <c r="T99" s="2039"/>
      <c r="U99" s="2039"/>
      <c r="V99" s="2039"/>
      <c r="W99" s="2039"/>
      <c r="X99" s="2039"/>
      <c r="Y99" s="2039"/>
      <c r="Z99" s="2039"/>
      <c r="AA99" s="2039"/>
      <c r="AB99" s="2039"/>
      <c r="AC99" s="2039"/>
      <c r="AD99" s="2039"/>
      <c r="AE99" s="2048"/>
      <c r="AF99" s="2555"/>
      <c r="AG99" s="2551"/>
      <c r="AH99" s="2551"/>
      <c r="AI99" s="2555"/>
      <c r="AJ99" s="2551"/>
      <c r="AK99" s="2551"/>
      <c r="AL99" s="1989"/>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9"/>
    </row>
    <row customHeight="1" ht="12">
      <c r="A100" s="1170" t="s">
        <v>1209</v>
      </c>
      <c r="B100" s="1170"/>
      <c r="C100" s="1170"/>
      <c r="D100" s="1164"/>
      <c r="E100" s="1174"/>
      <c r="F100" s="2554"/>
      <c r="G100" s="1194"/>
      <c r="H100" s="1194"/>
      <c r="I100" s="2552" t="s">
        <v>1300</v>
      </c>
      <c r="J100" s="2552"/>
      <c r="K100" s="2552"/>
      <c r="L100" s="1177"/>
      <c r="M100" s="1177"/>
      <c r="N100" s="1178"/>
      <c r="O100" s="1178"/>
      <c r="P100" s="1178"/>
      <c r="Q100" s="1178"/>
      <c r="R100" s="1178"/>
      <c r="S100" s="1178"/>
      <c r="T100" s="1178"/>
      <c r="U100" s="1178"/>
      <c r="V100" s="1178"/>
      <c r="W100" s="1178"/>
      <c r="X100" s="1178"/>
      <c r="Y100" s="1178"/>
      <c r="Z100" s="1178"/>
      <c r="AA100" s="1178"/>
      <c r="AB100" s="1178"/>
      <c r="AC100" s="1178"/>
      <c r="AD100" s="1178"/>
      <c r="AE100" s="1178"/>
      <c r="AF100" s="1178"/>
      <c r="AG100" s="1177"/>
      <c r="AH100" s="1177"/>
      <c r="AI100" s="1178"/>
      <c r="AJ100" s="1177"/>
      <c r="AK100" s="1178"/>
      <c r="AL100" s="1989"/>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9"/>
    </row>
    <row customHeight="1" ht="0.75">
      <c r="A101" s="1170" t="s">
        <v>1209</v>
      </c>
      <c r="B101" s="1170"/>
      <c r="C101" s="1170"/>
      <c r="D101" s="1164"/>
      <c r="E101" s="1174"/>
      <c r="F101" s="2553">
        <v>2020</v>
      </c>
      <c r="G101" s="2532"/>
      <c r="H101" s="2557" t="s">
        <v>514</v>
      </c>
      <c r="I101" s="2558"/>
      <c r="J101" s="2559"/>
      <c r="K101" s="2559"/>
      <c r="L101" s="2551"/>
      <c r="M101" s="2285"/>
      <c r="N101" s="2037"/>
      <c r="O101" s="2036"/>
      <c r="P101" s="2037"/>
      <c r="Q101" s="2037"/>
      <c r="R101" s="2037"/>
      <c r="S101" s="2037"/>
      <c r="T101" s="2037"/>
      <c r="U101" s="2037"/>
      <c r="V101" s="2037"/>
      <c r="W101" s="2037"/>
      <c r="X101" s="2037"/>
      <c r="Y101" s="2037"/>
      <c r="Z101" s="2037"/>
      <c r="AA101" s="2037"/>
      <c r="AB101" s="2037"/>
      <c r="AC101" s="2037"/>
      <c r="AD101" s="2037"/>
      <c r="AE101" s="2037"/>
      <c r="AF101" s="2555"/>
      <c r="AG101" s="2551"/>
      <c r="AH101" s="2551"/>
      <c r="AI101" s="2555"/>
      <c r="AJ101" s="2551"/>
      <c r="AK101" s="2551"/>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9"/>
    </row>
    <row customHeight="1" ht="0.75">
      <c r="A102" s="1170" t="s">
        <v>1209</v>
      </c>
      <c r="B102" s="1170"/>
      <c r="C102" s="1170"/>
      <c r="D102" s="1164"/>
      <c r="E102" s="1174"/>
      <c r="F102" s="2553"/>
      <c r="G102" s="2532"/>
      <c r="H102" s="2557"/>
      <c r="I102" s="2558"/>
      <c r="J102" s="2559"/>
      <c r="K102" s="2559"/>
      <c r="L102" s="2551"/>
      <c r="M102" s="2285"/>
      <c r="N102" s="2560"/>
      <c r="O102" s="2561"/>
      <c r="P102" s="2605"/>
      <c r="Q102" s="2556"/>
      <c r="R102" s="2556"/>
      <c r="S102" s="2556"/>
      <c r="T102" s="2556"/>
      <c r="U102" s="2556"/>
      <c r="V102" s="2556"/>
      <c r="W102" s="2556"/>
      <c r="X102" s="2556"/>
      <c r="Y102" s="2556"/>
      <c r="Z102" s="2038"/>
      <c r="AA102" s="2039"/>
      <c r="AB102" s="2039"/>
      <c r="AC102" s="2040"/>
      <c r="AD102" s="2040"/>
      <c r="AE102" s="2041"/>
      <c r="AF102" s="2555"/>
      <c r="AG102" s="2551"/>
      <c r="AH102" s="2551"/>
      <c r="AI102" s="2555"/>
      <c r="AJ102" s="2551"/>
      <c r="AK102" s="2551"/>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9"/>
    </row>
    <row customHeight="1" ht="0.75">
      <c r="A103" s="1170" t="s">
        <v>1209</v>
      </c>
      <c r="B103" s="1170"/>
      <c r="C103" s="1170"/>
      <c r="D103" s="1164"/>
      <c r="E103" s="1174"/>
      <c r="F103" s="2553"/>
      <c r="G103" s="2532"/>
      <c r="H103" s="2557"/>
      <c r="I103" s="2558"/>
      <c r="J103" s="2559"/>
      <c r="K103" s="2559"/>
      <c r="L103" s="2551"/>
      <c r="M103" s="2285"/>
      <c r="N103" s="2560"/>
      <c r="O103" s="2561"/>
      <c r="P103" s="2606"/>
      <c r="Q103" s="2556"/>
      <c r="R103" s="2556"/>
      <c r="S103" s="2556"/>
      <c r="T103" s="2556"/>
      <c r="U103" s="2556"/>
      <c r="V103" s="2556"/>
      <c r="W103" s="2556"/>
      <c r="X103" s="2556"/>
      <c r="Y103" s="2556"/>
      <c r="Z103" s="2042"/>
      <c r="AA103" s="2043"/>
      <c r="AB103" s="2044"/>
      <c r="AC103" s="2045"/>
      <c r="AD103" s="2044"/>
      <c r="AE103" s="2045"/>
      <c r="AF103" s="2555"/>
      <c r="AG103" s="2551"/>
      <c r="AH103" s="2551"/>
      <c r="AI103" s="2555"/>
      <c r="AJ103" s="2551"/>
      <c r="AK103" s="2551"/>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9"/>
    </row>
    <row customHeight="1" ht="0.75">
      <c r="A104" s="1170" t="s">
        <v>1209</v>
      </c>
      <c r="B104" s="1170"/>
      <c r="C104" s="1170"/>
      <c r="D104" s="1164"/>
      <c r="E104" s="1174"/>
      <c r="F104" s="2553"/>
      <c r="G104" s="2532"/>
      <c r="H104" s="2557"/>
      <c r="I104" s="2558"/>
      <c r="J104" s="2559"/>
      <c r="K104" s="2559"/>
      <c r="L104" s="2551"/>
      <c r="M104" s="2285"/>
      <c r="N104" s="2560"/>
      <c r="O104" s="2561"/>
      <c r="P104" s="2607"/>
      <c r="Q104" s="2556"/>
      <c r="R104" s="2556"/>
      <c r="S104" s="2556"/>
      <c r="T104" s="2556"/>
      <c r="U104" s="2556"/>
      <c r="V104" s="2556"/>
      <c r="W104" s="2556"/>
      <c r="X104" s="2556"/>
      <c r="Y104" s="2556"/>
      <c r="Z104" s="2038"/>
      <c r="AA104" s="2039"/>
      <c r="AB104" s="2046"/>
      <c r="AC104" s="2040"/>
      <c r="AD104" s="2040"/>
      <c r="AE104" s="2047"/>
      <c r="AF104" s="2555"/>
      <c r="AG104" s="2551"/>
      <c r="AH104" s="2551"/>
      <c r="AI104" s="2555"/>
      <c r="AJ104" s="2551"/>
      <c r="AK104" s="2551"/>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c r="BG104" s="1639"/>
    </row>
    <row customHeight="1" ht="0.75">
      <c r="A105" s="1170" t="s">
        <v>1209</v>
      </c>
      <c r="B105" s="1170"/>
      <c r="C105" s="1170"/>
      <c r="D105" s="1164"/>
      <c r="E105" s="1174"/>
      <c r="F105" s="2553"/>
      <c r="G105" s="2532"/>
      <c r="H105" s="2557"/>
      <c r="I105" s="2558"/>
      <c r="J105" s="2559"/>
      <c r="K105" s="2559"/>
      <c r="L105" s="2551"/>
      <c r="M105" s="2285"/>
      <c r="N105" s="2039"/>
      <c r="O105" s="2039"/>
      <c r="P105" s="2046"/>
      <c r="Q105" s="2039"/>
      <c r="R105" s="2039"/>
      <c r="S105" s="2039"/>
      <c r="T105" s="2039"/>
      <c r="U105" s="2039"/>
      <c r="V105" s="2039"/>
      <c r="W105" s="2039"/>
      <c r="X105" s="2039"/>
      <c r="Y105" s="2039"/>
      <c r="Z105" s="2039"/>
      <c r="AA105" s="2039"/>
      <c r="AB105" s="2039"/>
      <c r="AC105" s="2039"/>
      <c r="AD105" s="2039"/>
      <c r="AE105" s="2048"/>
      <c r="AF105" s="2555"/>
      <c r="AG105" s="2551"/>
      <c r="AH105" s="2551"/>
      <c r="AI105" s="2555"/>
      <c r="AJ105" s="2551"/>
      <c r="AK105" s="2551"/>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c r="BG105" s="1639"/>
    </row>
    <row customHeight="1" ht="12">
      <c r="A106" s="1170" t="s">
        <v>1209</v>
      </c>
      <c r="B106" s="1170"/>
      <c r="C106" s="1170"/>
      <c r="D106" s="1164"/>
      <c r="E106" s="1174"/>
      <c r="F106" s="2554"/>
      <c r="G106" s="1194"/>
      <c r="H106" s="1194"/>
      <c r="I106" s="2552" t="s">
        <v>1300</v>
      </c>
      <c r="J106" s="2552"/>
      <c r="K106" s="2552"/>
      <c r="L106" s="1177"/>
      <c r="M106" s="1177"/>
      <c r="N106" s="1178"/>
      <c r="O106" s="1178"/>
      <c r="P106" s="1178"/>
      <c r="Q106" s="1178"/>
      <c r="R106" s="1178"/>
      <c r="S106" s="1178"/>
      <c r="T106" s="1178"/>
      <c r="U106" s="1178"/>
      <c r="V106" s="1178"/>
      <c r="W106" s="1178"/>
      <c r="X106" s="1178"/>
      <c r="Y106" s="1178"/>
      <c r="Z106" s="1178"/>
      <c r="AA106" s="1178"/>
      <c r="AB106" s="1178"/>
      <c r="AC106" s="1178"/>
      <c r="AD106" s="1178"/>
      <c r="AE106" s="1178"/>
      <c r="AF106" s="1178"/>
      <c r="AG106" s="1177"/>
      <c r="AH106" s="1177"/>
      <c r="AI106" s="1178"/>
      <c r="AJ106" s="1177"/>
      <c r="AK106" s="1178"/>
      <c r="AL106" s="1989"/>
      <c r="AM106" s="1826"/>
      <c r="AN106" s="1826"/>
      <c r="AO106" s="1826"/>
      <c r="AP106" s="1826"/>
      <c r="AQ106" s="1826"/>
      <c r="AR106" s="1826"/>
      <c r="AS106" s="1826"/>
      <c r="AT106" s="1826"/>
      <c r="AU106" s="1826"/>
      <c r="AV106" s="1826"/>
      <c r="AW106" s="1826"/>
      <c r="AX106" s="1826"/>
      <c r="AY106" s="1826"/>
      <c r="AZ106" s="1826"/>
      <c r="BA106" s="1826"/>
      <c r="BB106" s="1826"/>
      <c r="BC106" s="1826"/>
      <c r="BD106" s="1826"/>
      <c r="BE106" s="1826"/>
      <c r="BF106" s="1826"/>
      <c r="BG106" s="1639"/>
    </row>
    <row customHeight="1" ht="0.75">
      <c r="A107" s="1170" t="s">
        <v>1209</v>
      </c>
      <c r="B107" s="1170"/>
      <c r="C107" s="1170"/>
      <c r="D107" s="1164"/>
      <c r="E107" s="1174"/>
      <c r="F107" s="2553">
        <v>2021</v>
      </c>
      <c r="G107" s="2532"/>
      <c r="H107" s="2557" t="s">
        <v>514</v>
      </c>
      <c r="I107" s="2558"/>
      <c r="J107" s="2559"/>
      <c r="K107" s="2559"/>
      <c r="L107" s="2551"/>
      <c r="M107" s="2285"/>
      <c r="N107" s="2037"/>
      <c r="O107" s="2036"/>
      <c r="P107" s="2037"/>
      <c r="Q107" s="2037"/>
      <c r="R107" s="2037"/>
      <c r="S107" s="2037"/>
      <c r="T107" s="2037"/>
      <c r="U107" s="2037"/>
      <c r="V107" s="2037"/>
      <c r="W107" s="2037"/>
      <c r="X107" s="2037"/>
      <c r="Y107" s="2037"/>
      <c r="Z107" s="2037"/>
      <c r="AA107" s="2037"/>
      <c r="AB107" s="2037"/>
      <c r="AC107" s="2037"/>
      <c r="AD107" s="2037"/>
      <c r="AE107" s="2037"/>
      <c r="AF107" s="2555"/>
      <c r="AG107" s="2551"/>
      <c r="AH107" s="2551"/>
      <c r="AI107" s="2555"/>
      <c r="AJ107" s="2551"/>
      <c r="AK107" s="2551"/>
      <c r="AL107" s="1989"/>
      <c r="AM107" s="1826"/>
      <c r="AN107" s="1826"/>
      <c r="AO107" s="1826"/>
      <c r="AP107" s="1826"/>
      <c r="AQ107" s="1826"/>
      <c r="AR107" s="1826"/>
      <c r="AS107" s="1826"/>
      <c r="AT107" s="1826"/>
      <c r="AU107" s="1826"/>
      <c r="AV107" s="1826"/>
      <c r="AW107" s="1826"/>
      <c r="AX107" s="1826"/>
      <c r="AY107" s="1826"/>
      <c r="AZ107" s="1826"/>
      <c r="BA107" s="1826"/>
      <c r="BB107" s="1826"/>
      <c r="BC107" s="1826"/>
      <c r="BD107" s="1826"/>
      <c r="BE107" s="1826"/>
      <c r="BF107" s="1826"/>
      <c r="BG107" s="1639"/>
    </row>
    <row customHeight="1" ht="0.75">
      <c r="A108" s="1170" t="s">
        <v>1209</v>
      </c>
      <c r="B108" s="1170"/>
      <c r="C108" s="1170"/>
      <c r="D108" s="1164"/>
      <c r="E108" s="1174"/>
      <c r="F108" s="2553"/>
      <c r="G108" s="2532"/>
      <c r="H108" s="2557"/>
      <c r="I108" s="2558"/>
      <c r="J108" s="2559"/>
      <c r="K108" s="2559"/>
      <c r="L108" s="2551"/>
      <c r="M108" s="2285"/>
      <c r="N108" s="2560"/>
      <c r="O108" s="2561"/>
      <c r="P108" s="2605"/>
      <c r="Q108" s="2556"/>
      <c r="R108" s="2556"/>
      <c r="S108" s="2556"/>
      <c r="T108" s="2556"/>
      <c r="U108" s="2556"/>
      <c r="V108" s="2556"/>
      <c r="W108" s="2556"/>
      <c r="X108" s="2556"/>
      <c r="Y108" s="2556"/>
      <c r="Z108" s="2038"/>
      <c r="AA108" s="2039"/>
      <c r="AB108" s="2039"/>
      <c r="AC108" s="2040"/>
      <c r="AD108" s="2040"/>
      <c r="AE108" s="2041"/>
      <c r="AF108" s="2555"/>
      <c r="AG108" s="2551"/>
      <c r="AH108" s="2551"/>
      <c r="AI108" s="2555"/>
      <c r="AJ108" s="2551"/>
      <c r="AK108" s="2551"/>
      <c r="AL108" s="1989"/>
      <c r="AM108" s="1826"/>
      <c r="AN108" s="1826"/>
      <c r="AO108" s="1826"/>
      <c r="AP108" s="1826"/>
      <c r="AQ108" s="1826"/>
      <c r="AR108" s="1826"/>
      <c r="AS108" s="1826"/>
      <c r="AT108" s="1826"/>
      <c r="AU108" s="1826"/>
      <c r="AV108" s="1826"/>
      <c r="AW108" s="1826"/>
      <c r="AX108" s="1826"/>
      <c r="AY108" s="1826"/>
      <c r="AZ108" s="1826"/>
      <c r="BA108" s="1826"/>
      <c r="BB108" s="1826"/>
      <c r="BC108" s="1826"/>
      <c r="BD108" s="1826"/>
      <c r="BE108" s="1826"/>
      <c r="BF108" s="1826"/>
      <c r="BG108" s="1639"/>
    </row>
    <row customHeight="1" ht="0.75">
      <c r="A109" s="1170" t="s">
        <v>1209</v>
      </c>
      <c r="B109" s="1170"/>
      <c r="C109" s="1170"/>
      <c r="D109" s="1164"/>
      <c r="E109" s="1174"/>
      <c r="F109" s="2553"/>
      <c r="G109" s="2532"/>
      <c r="H109" s="2557"/>
      <c r="I109" s="2558"/>
      <c r="J109" s="2559"/>
      <c r="K109" s="2559"/>
      <c r="L109" s="2551"/>
      <c r="M109" s="2285"/>
      <c r="N109" s="2560"/>
      <c r="O109" s="2561"/>
      <c r="P109" s="2606"/>
      <c r="Q109" s="2556"/>
      <c r="R109" s="2556"/>
      <c r="S109" s="2556"/>
      <c r="T109" s="2556"/>
      <c r="U109" s="2556"/>
      <c r="V109" s="2556"/>
      <c r="W109" s="2556"/>
      <c r="X109" s="2556"/>
      <c r="Y109" s="2556"/>
      <c r="Z109" s="2042"/>
      <c r="AA109" s="2043"/>
      <c r="AB109" s="2044"/>
      <c r="AC109" s="2045"/>
      <c r="AD109" s="2044"/>
      <c r="AE109" s="2045"/>
      <c r="AF109" s="2555"/>
      <c r="AG109" s="2551"/>
      <c r="AH109" s="2551"/>
      <c r="AI109" s="2555"/>
      <c r="AJ109" s="2551"/>
      <c r="AK109" s="2551"/>
      <c r="AL109" s="1989"/>
      <c r="AM109" s="1826"/>
      <c r="AN109" s="1826"/>
      <c r="AO109" s="1826"/>
      <c r="AP109" s="1826"/>
      <c r="AQ109" s="1826"/>
      <c r="AR109" s="1826"/>
      <c r="AS109" s="1826"/>
      <c r="AT109" s="1826"/>
      <c r="AU109" s="1826"/>
      <c r="AV109" s="1826"/>
      <c r="AW109" s="1826"/>
      <c r="AX109" s="1826"/>
      <c r="AY109" s="1826"/>
      <c r="AZ109" s="1826"/>
      <c r="BA109" s="1826"/>
      <c r="BB109" s="1826"/>
      <c r="BC109" s="1826"/>
      <c r="BD109" s="1826"/>
      <c r="BE109" s="1826"/>
      <c r="BF109" s="1826"/>
      <c r="BG109" s="1639"/>
    </row>
    <row customHeight="1" ht="0.75">
      <c r="A110" s="1170" t="s">
        <v>1209</v>
      </c>
      <c r="B110" s="1170"/>
      <c r="C110" s="1170"/>
      <c r="D110" s="1164"/>
      <c r="E110" s="1174"/>
      <c r="F110" s="2553"/>
      <c r="G110" s="2532"/>
      <c r="H110" s="2557"/>
      <c r="I110" s="2558"/>
      <c r="J110" s="2559"/>
      <c r="K110" s="2559"/>
      <c r="L110" s="2551"/>
      <c r="M110" s="2285"/>
      <c r="N110" s="2560"/>
      <c r="O110" s="2561"/>
      <c r="P110" s="2607"/>
      <c r="Q110" s="2556"/>
      <c r="R110" s="2556"/>
      <c r="S110" s="2556"/>
      <c r="T110" s="2556"/>
      <c r="U110" s="2556"/>
      <c r="V110" s="2556"/>
      <c r="W110" s="2556"/>
      <c r="X110" s="2556"/>
      <c r="Y110" s="2556"/>
      <c r="Z110" s="2038"/>
      <c r="AA110" s="2039"/>
      <c r="AB110" s="2046"/>
      <c r="AC110" s="2040"/>
      <c r="AD110" s="2040"/>
      <c r="AE110" s="2047"/>
      <c r="AF110" s="2555"/>
      <c r="AG110" s="2551"/>
      <c r="AH110" s="2551"/>
      <c r="AI110" s="2555"/>
      <c r="AJ110" s="2551"/>
      <c r="AK110" s="2551"/>
      <c r="AL110" s="1989"/>
      <c r="AM110" s="1826"/>
      <c r="AN110" s="1826"/>
      <c r="AO110" s="1826"/>
      <c r="AP110" s="1826"/>
      <c r="AQ110" s="1826"/>
      <c r="AR110" s="1826"/>
      <c r="AS110" s="1826"/>
      <c r="AT110" s="1826"/>
      <c r="AU110" s="1826"/>
      <c r="AV110" s="1826"/>
      <c r="AW110" s="1826"/>
      <c r="AX110" s="1826"/>
      <c r="AY110" s="1826"/>
      <c r="AZ110" s="1826"/>
      <c r="BA110" s="1826"/>
      <c r="BB110" s="1826"/>
      <c r="BC110" s="1826"/>
      <c r="BD110" s="1826"/>
      <c r="BE110" s="1826"/>
      <c r="BF110" s="1826"/>
      <c r="BG110" s="1639"/>
    </row>
    <row customHeight="1" ht="0.75">
      <c r="A111" s="1170" t="s">
        <v>1209</v>
      </c>
      <c r="B111" s="1170"/>
      <c r="C111" s="1170"/>
      <c r="D111" s="1164"/>
      <c r="E111" s="1174"/>
      <c r="F111" s="2553"/>
      <c r="G111" s="2532"/>
      <c r="H111" s="2557"/>
      <c r="I111" s="2558"/>
      <c r="J111" s="2559"/>
      <c r="K111" s="2559"/>
      <c r="L111" s="2551"/>
      <c r="M111" s="2285"/>
      <c r="N111" s="2039"/>
      <c r="O111" s="2039"/>
      <c r="P111" s="2046"/>
      <c r="Q111" s="2039"/>
      <c r="R111" s="2039"/>
      <c r="S111" s="2039"/>
      <c r="T111" s="2039"/>
      <c r="U111" s="2039"/>
      <c r="V111" s="2039"/>
      <c r="W111" s="2039"/>
      <c r="X111" s="2039"/>
      <c r="Y111" s="2039"/>
      <c r="Z111" s="2039"/>
      <c r="AA111" s="2039"/>
      <c r="AB111" s="2039"/>
      <c r="AC111" s="2039"/>
      <c r="AD111" s="2039"/>
      <c r="AE111" s="2048"/>
      <c r="AF111" s="2555"/>
      <c r="AG111" s="2551"/>
      <c r="AH111" s="2551"/>
      <c r="AI111" s="2555"/>
      <c r="AJ111" s="2551"/>
      <c r="AK111" s="2551"/>
      <c r="AL111" s="1989"/>
      <c r="AM111" s="1826"/>
      <c r="AN111" s="1826"/>
      <c r="AO111" s="1826"/>
      <c r="AP111" s="1826"/>
      <c r="AQ111" s="1826"/>
      <c r="AR111" s="1826"/>
      <c r="AS111" s="1826"/>
      <c r="AT111" s="1826"/>
      <c r="AU111" s="1826"/>
      <c r="AV111" s="1826"/>
      <c r="AW111" s="1826"/>
      <c r="AX111" s="1826"/>
      <c r="AY111" s="1826"/>
      <c r="AZ111" s="1826"/>
      <c r="BA111" s="1826"/>
      <c r="BB111" s="1826"/>
      <c r="BC111" s="1826"/>
      <c r="BD111" s="1826"/>
      <c r="BE111" s="1826"/>
      <c r="BF111" s="1826"/>
      <c r="BG111" s="1639"/>
    </row>
    <row customHeight="1" ht="12">
      <c r="A112" s="1170" t="s">
        <v>1209</v>
      </c>
      <c r="B112" s="1170"/>
      <c r="C112" s="1170"/>
      <c r="D112" s="1164"/>
      <c r="E112" s="1174"/>
      <c r="F112" s="2554"/>
      <c r="G112" s="1194"/>
      <c r="H112" s="1194"/>
      <c r="I112" s="2552" t="s">
        <v>1300</v>
      </c>
      <c r="J112" s="2552"/>
      <c r="K112" s="2552"/>
      <c r="L112" s="1177"/>
      <c r="M112" s="1177"/>
      <c r="N112" s="1178"/>
      <c r="O112" s="1178"/>
      <c r="P112" s="1178"/>
      <c r="Q112" s="1178"/>
      <c r="R112" s="1178"/>
      <c r="S112" s="1178"/>
      <c r="T112" s="1178"/>
      <c r="U112" s="1178"/>
      <c r="V112" s="1178"/>
      <c r="W112" s="1178"/>
      <c r="X112" s="1178"/>
      <c r="Y112" s="1178"/>
      <c r="Z112" s="1178"/>
      <c r="AA112" s="1178"/>
      <c r="AB112" s="1178"/>
      <c r="AC112" s="1178"/>
      <c r="AD112" s="1178"/>
      <c r="AE112" s="1178"/>
      <c r="AF112" s="1178"/>
      <c r="AG112" s="1177"/>
      <c r="AH112" s="1177"/>
      <c r="AI112" s="1178"/>
      <c r="AJ112" s="1177"/>
      <c r="AK112" s="1178"/>
      <c r="AL112" s="1989"/>
      <c r="AM112" s="1826"/>
      <c r="AN112" s="1826"/>
      <c r="AO112" s="1826"/>
      <c r="AP112" s="1826"/>
      <c r="AQ112" s="1826"/>
      <c r="AR112" s="1826"/>
      <c r="AS112" s="1826"/>
      <c r="AT112" s="1826"/>
      <c r="AU112" s="1826"/>
      <c r="AV112" s="1826"/>
      <c r="AW112" s="1826"/>
      <c r="AX112" s="1826"/>
      <c r="AY112" s="1826"/>
      <c r="AZ112" s="1826"/>
      <c r="BA112" s="1826"/>
      <c r="BB112" s="1826"/>
      <c r="BC112" s="1826"/>
      <c r="BD112" s="1826"/>
      <c r="BE112" s="1826"/>
      <c r="BF112" s="1826"/>
      <c r="BG112" s="1639"/>
    </row>
    <row customHeight="1" ht="0.75">
      <c r="A113" s="1170" t="s">
        <v>1209</v>
      </c>
      <c r="B113" s="1170"/>
      <c r="C113" s="1170"/>
      <c r="D113" s="1164"/>
      <c r="E113" s="1174"/>
      <c r="F113" s="2553">
        <v>2022</v>
      </c>
      <c r="G113" s="2532"/>
      <c r="H113" s="2557" t="s">
        <v>514</v>
      </c>
      <c r="I113" s="2558"/>
      <c r="J113" s="2559"/>
      <c r="K113" s="2559"/>
      <c r="L113" s="2551"/>
      <c r="M113" s="2285"/>
      <c r="N113" s="2037"/>
      <c r="O113" s="2036"/>
      <c r="P113" s="2037"/>
      <c r="Q113" s="2037"/>
      <c r="R113" s="2037"/>
      <c r="S113" s="2037"/>
      <c r="T113" s="2037"/>
      <c r="U113" s="2037"/>
      <c r="V113" s="2037"/>
      <c r="W113" s="2037"/>
      <c r="X113" s="2037"/>
      <c r="Y113" s="2037"/>
      <c r="Z113" s="2037"/>
      <c r="AA113" s="2037"/>
      <c r="AB113" s="2037"/>
      <c r="AC113" s="2037"/>
      <c r="AD113" s="2037"/>
      <c r="AE113" s="2037"/>
      <c r="AF113" s="2555"/>
      <c r="AG113" s="2551"/>
      <c r="AH113" s="2551"/>
      <c r="AI113" s="2555"/>
      <c r="AJ113" s="2551"/>
      <c r="AK113" s="2551"/>
      <c r="AL113" s="1989"/>
      <c r="AM113" s="1826"/>
      <c r="AN113" s="1826"/>
      <c r="AO113" s="1826"/>
      <c r="AP113" s="1826"/>
      <c r="AQ113" s="1826"/>
      <c r="AR113" s="1826"/>
      <c r="AS113" s="1826"/>
      <c r="AT113" s="1826"/>
      <c r="AU113" s="1826"/>
      <c r="AV113" s="1826"/>
      <c r="AW113" s="1826"/>
      <c r="AX113" s="1826"/>
      <c r="AY113" s="1826"/>
      <c r="AZ113" s="1826"/>
      <c r="BA113" s="1826"/>
      <c r="BB113" s="1826"/>
      <c r="BC113" s="1826"/>
      <c r="BD113" s="1826"/>
      <c r="BE113" s="1826"/>
      <c r="BF113" s="1826"/>
      <c r="BG113" s="1639"/>
    </row>
    <row customHeight="1" ht="0.75">
      <c r="A114" s="1170" t="s">
        <v>1209</v>
      </c>
      <c r="B114" s="1170"/>
      <c r="C114" s="1170"/>
      <c r="D114" s="1164"/>
      <c r="E114" s="1174"/>
      <c r="F114" s="2553"/>
      <c r="G114" s="2532"/>
      <c r="H114" s="2557"/>
      <c r="I114" s="2558"/>
      <c r="J114" s="2559"/>
      <c r="K114" s="2559"/>
      <c r="L114" s="2551"/>
      <c r="M114" s="2285"/>
      <c r="N114" s="2560"/>
      <c r="O114" s="2561"/>
      <c r="P114" s="2605"/>
      <c r="Q114" s="2556"/>
      <c r="R114" s="2556"/>
      <c r="S114" s="2556"/>
      <c r="T114" s="2556"/>
      <c r="U114" s="2556"/>
      <c r="V114" s="2556"/>
      <c r="W114" s="2556"/>
      <c r="X114" s="2556"/>
      <c r="Y114" s="2556"/>
      <c r="Z114" s="2038"/>
      <c r="AA114" s="2039"/>
      <c r="AB114" s="2039"/>
      <c r="AC114" s="2040"/>
      <c r="AD114" s="2040"/>
      <c r="AE114" s="2041"/>
      <c r="AF114" s="2555"/>
      <c r="AG114" s="2551"/>
      <c r="AH114" s="2551"/>
      <c r="AI114" s="2555"/>
      <c r="AJ114" s="2551"/>
      <c r="AK114" s="2551"/>
      <c r="AL114" s="1989"/>
      <c r="AM114" s="1826"/>
      <c r="AN114" s="1826"/>
      <c r="AO114" s="1826"/>
      <c r="AP114" s="1826"/>
      <c r="AQ114" s="1826"/>
      <c r="AR114" s="1826"/>
      <c r="AS114" s="1826"/>
      <c r="AT114" s="1826"/>
      <c r="AU114" s="1826"/>
      <c r="AV114" s="1826"/>
      <c r="AW114" s="1826"/>
      <c r="AX114" s="1826"/>
      <c r="AY114" s="1826"/>
      <c r="AZ114" s="1826"/>
      <c r="BA114" s="1826"/>
      <c r="BB114" s="1826"/>
      <c r="BC114" s="1826"/>
      <c r="BD114" s="1826"/>
      <c r="BE114" s="1826"/>
      <c r="BF114" s="1826"/>
      <c r="BG114" s="1639"/>
    </row>
    <row customHeight="1" ht="0.75">
      <c r="A115" s="1170" t="s">
        <v>1209</v>
      </c>
      <c r="B115" s="1170"/>
      <c r="C115" s="1170"/>
      <c r="D115" s="1164"/>
      <c r="E115" s="1174"/>
      <c r="F115" s="2553"/>
      <c r="G115" s="2532"/>
      <c r="H115" s="2557"/>
      <c r="I115" s="2558"/>
      <c r="J115" s="2559"/>
      <c r="K115" s="2559"/>
      <c r="L115" s="2551"/>
      <c r="M115" s="2285"/>
      <c r="N115" s="2560"/>
      <c r="O115" s="2561"/>
      <c r="P115" s="2606"/>
      <c r="Q115" s="2556"/>
      <c r="R115" s="2556"/>
      <c r="S115" s="2556"/>
      <c r="T115" s="2556"/>
      <c r="U115" s="2556"/>
      <c r="V115" s="2556"/>
      <c r="W115" s="2556"/>
      <c r="X115" s="2556"/>
      <c r="Y115" s="2556"/>
      <c r="Z115" s="2042"/>
      <c r="AA115" s="2043"/>
      <c r="AB115" s="2044"/>
      <c r="AC115" s="2045"/>
      <c r="AD115" s="2044"/>
      <c r="AE115" s="2045"/>
      <c r="AF115" s="2555"/>
      <c r="AG115" s="2551"/>
      <c r="AH115" s="2551"/>
      <c r="AI115" s="2555"/>
      <c r="AJ115" s="2551"/>
      <c r="AK115" s="2551"/>
      <c r="AL115" s="1989"/>
      <c r="AM115" s="1826"/>
      <c r="AN115" s="1826"/>
      <c r="AO115" s="1826"/>
      <c r="AP115" s="1826"/>
      <c r="AQ115" s="1826"/>
      <c r="AR115" s="1826"/>
      <c r="AS115" s="1826"/>
      <c r="AT115" s="1826"/>
      <c r="AU115" s="1826"/>
      <c r="AV115" s="1826"/>
      <c r="AW115" s="1826"/>
      <c r="AX115" s="1826"/>
      <c r="AY115" s="1826"/>
      <c r="AZ115" s="1826"/>
      <c r="BA115" s="1826"/>
      <c r="BB115" s="1826"/>
      <c r="BC115" s="1826"/>
      <c r="BD115" s="1826"/>
      <c r="BE115" s="1826"/>
      <c r="BF115" s="1826"/>
      <c r="BG115" s="1639"/>
    </row>
    <row customHeight="1" ht="0.75">
      <c r="A116" s="1170" t="s">
        <v>1209</v>
      </c>
      <c r="B116" s="1170"/>
      <c r="C116" s="1170"/>
      <c r="D116" s="1164"/>
      <c r="E116" s="1174"/>
      <c r="F116" s="2553"/>
      <c r="G116" s="2532"/>
      <c r="H116" s="2557"/>
      <c r="I116" s="2558"/>
      <c r="J116" s="2559"/>
      <c r="K116" s="2559"/>
      <c r="L116" s="2551"/>
      <c r="M116" s="2285"/>
      <c r="N116" s="2560"/>
      <c r="O116" s="2561"/>
      <c r="P116" s="2607"/>
      <c r="Q116" s="2556"/>
      <c r="R116" s="2556"/>
      <c r="S116" s="2556"/>
      <c r="T116" s="2556"/>
      <c r="U116" s="2556"/>
      <c r="V116" s="2556"/>
      <c r="W116" s="2556"/>
      <c r="X116" s="2556"/>
      <c r="Y116" s="2556"/>
      <c r="Z116" s="2038"/>
      <c r="AA116" s="2039"/>
      <c r="AB116" s="2046"/>
      <c r="AC116" s="2040"/>
      <c r="AD116" s="2040"/>
      <c r="AE116" s="2047"/>
      <c r="AF116" s="2555"/>
      <c r="AG116" s="2551"/>
      <c r="AH116" s="2551"/>
      <c r="AI116" s="2555"/>
      <c r="AJ116" s="2551"/>
      <c r="AK116" s="2551"/>
      <c r="AL116" s="1989"/>
      <c r="AM116" s="1826"/>
      <c r="AN116" s="1826"/>
      <c r="AO116" s="1826"/>
      <c r="AP116" s="1826"/>
      <c r="AQ116" s="1826"/>
      <c r="AR116" s="1826"/>
      <c r="AS116" s="1826"/>
      <c r="AT116" s="1826"/>
      <c r="AU116" s="1826"/>
      <c r="AV116" s="1826"/>
      <c r="AW116" s="1826"/>
      <c r="AX116" s="1826"/>
      <c r="AY116" s="1826"/>
      <c r="AZ116" s="1826"/>
      <c r="BA116" s="1826"/>
      <c r="BB116" s="1826"/>
      <c r="BC116" s="1826"/>
      <c r="BD116" s="1826"/>
      <c r="BE116" s="1826"/>
      <c r="BF116" s="1826"/>
      <c r="BG116" s="1639"/>
    </row>
    <row customHeight="1" ht="0.75">
      <c r="A117" s="1170" t="s">
        <v>1209</v>
      </c>
      <c r="B117" s="1170"/>
      <c r="C117" s="1170"/>
      <c r="D117" s="1164"/>
      <c r="E117" s="1174"/>
      <c r="F117" s="2553"/>
      <c r="G117" s="2532"/>
      <c r="H117" s="2557"/>
      <c r="I117" s="2558"/>
      <c r="J117" s="2559"/>
      <c r="K117" s="2559"/>
      <c r="L117" s="2551"/>
      <c r="M117" s="2285"/>
      <c r="N117" s="2039"/>
      <c r="O117" s="2039"/>
      <c r="P117" s="2046"/>
      <c r="Q117" s="2039"/>
      <c r="R117" s="2039"/>
      <c r="S117" s="2039"/>
      <c r="T117" s="2039"/>
      <c r="U117" s="2039"/>
      <c r="V117" s="2039"/>
      <c r="W117" s="2039"/>
      <c r="X117" s="2039"/>
      <c r="Y117" s="2039"/>
      <c r="Z117" s="2039"/>
      <c r="AA117" s="2039"/>
      <c r="AB117" s="2039"/>
      <c r="AC117" s="2039"/>
      <c r="AD117" s="2039"/>
      <c r="AE117" s="2048"/>
      <c r="AF117" s="2555"/>
      <c r="AG117" s="2551"/>
      <c r="AH117" s="2551"/>
      <c r="AI117" s="2555"/>
      <c r="AJ117" s="2551"/>
      <c r="AK117" s="2551"/>
      <c r="AL117" s="1989"/>
      <c r="AM117" s="1826"/>
      <c r="AN117" s="1826"/>
      <c r="AO117" s="1826"/>
      <c r="AP117" s="1826"/>
      <c r="AQ117" s="1826"/>
      <c r="AR117" s="1826"/>
      <c r="AS117" s="1826"/>
      <c r="AT117" s="1826"/>
      <c r="AU117" s="1826"/>
      <c r="AV117" s="1826"/>
      <c r="AW117" s="1826"/>
      <c r="AX117" s="1826"/>
      <c r="AY117" s="1826"/>
      <c r="AZ117" s="1826"/>
      <c r="BA117" s="1826"/>
      <c r="BB117" s="1826"/>
      <c r="BC117" s="1826"/>
      <c r="BD117" s="1826"/>
      <c r="BE117" s="1826"/>
      <c r="BF117" s="1826"/>
      <c r="BG117" s="1639"/>
    </row>
    <row customHeight="1" ht="12">
      <c r="A118" s="1170" t="s">
        <v>1209</v>
      </c>
      <c r="B118" s="1170"/>
      <c r="C118" s="1170"/>
      <c r="D118" s="1164"/>
      <c r="E118" s="1174"/>
      <c r="F118" s="2554"/>
      <c r="G118" s="1194"/>
      <c r="H118" s="1194"/>
      <c r="I118" s="2552" t="s">
        <v>1300</v>
      </c>
      <c r="J118" s="2552"/>
      <c r="K118" s="2552"/>
      <c r="L118" s="1177"/>
      <c r="M118" s="1177"/>
      <c r="N118" s="1178"/>
      <c r="O118" s="1178"/>
      <c r="P118" s="1178"/>
      <c r="Q118" s="1178"/>
      <c r="R118" s="1178"/>
      <c r="S118" s="1178"/>
      <c r="T118" s="1178"/>
      <c r="U118" s="1178"/>
      <c r="V118" s="1178"/>
      <c r="W118" s="1178"/>
      <c r="X118" s="1178"/>
      <c r="Y118" s="1178"/>
      <c r="Z118" s="1178"/>
      <c r="AA118" s="1178"/>
      <c r="AB118" s="1178"/>
      <c r="AC118" s="1178"/>
      <c r="AD118" s="1178"/>
      <c r="AE118" s="1178"/>
      <c r="AF118" s="1178"/>
      <c r="AG118" s="1177"/>
      <c r="AH118" s="1177"/>
      <c r="AI118" s="1178"/>
      <c r="AJ118" s="1177"/>
      <c r="AK118" s="1178"/>
      <c r="AL118" s="1989"/>
      <c r="AM118" s="1826"/>
      <c r="AN118" s="1826"/>
      <c r="AO118" s="1826"/>
      <c r="AP118" s="1826"/>
      <c r="AQ118" s="1826"/>
      <c r="AR118" s="1826"/>
      <c r="AS118" s="1826"/>
      <c r="AT118" s="1826"/>
      <c r="AU118" s="1826"/>
      <c r="AV118" s="1826"/>
      <c r="AW118" s="1826"/>
      <c r="AX118" s="1826"/>
      <c r="AY118" s="1826"/>
      <c r="AZ118" s="1826"/>
      <c r="BA118" s="1826"/>
      <c r="BB118" s="1826"/>
      <c r="BC118" s="1826"/>
      <c r="BD118" s="1826"/>
      <c r="BE118" s="1826"/>
      <c r="BF118" s="1826"/>
      <c r="BG118" s="1639"/>
    </row>
    <row customHeight="1" ht="0.75">
      <c r="A119" s="1170" t="s">
        <v>1209</v>
      </c>
      <c r="B119" s="1170"/>
      <c r="C119" s="1170"/>
      <c r="D119" s="1164"/>
      <c r="E119" s="1174"/>
      <c r="F119" s="2553">
        <v>2023</v>
      </c>
      <c r="G119" s="2532"/>
      <c r="H119" s="2557" t="s">
        <v>514</v>
      </c>
      <c r="I119" s="2558"/>
      <c r="J119" s="2559"/>
      <c r="K119" s="2559"/>
      <c r="L119" s="2551"/>
      <c r="M119" s="2285"/>
      <c r="N119" s="2037"/>
      <c r="O119" s="2036"/>
      <c r="P119" s="2037"/>
      <c r="Q119" s="2037"/>
      <c r="R119" s="2037"/>
      <c r="S119" s="2037"/>
      <c r="T119" s="2037"/>
      <c r="U119" s="2037"/>
      <c r="V119" s="2037"/>
      <c r="W119" s="2037"/>
      <c r="X119" s="2037"/>
      <c r="Y119" s="2037"/>
      <c r="Z119" s="2037"/>
      <c r="AA119" s="2037"/>
      <c r="AB119" s="2037"/>
      <c r="AC119" s="2037"/>
      <c r="AD119" s="2037"/>
      <c r="AE119" s="2037"/>
      <c r="AF119" s="2555"/>
      <c r="AG119" s="2551"/>
      <c r="AH119" s="2551"/>
      <c r="AI119" s="2555"/>
      <c r="AJ119" s="2551"/>
      <c r="AK119" s="2551"/>
      <c r="AL119" s="1989"/>
      <c r="AM119" s="1826"/>
      <c r="AN119" s="1826"/>
      <c r="AO119" s="1826"/>
      <c r="AP119" s="1826"/>
      <c r="AQ119" s="1826"/>
      <c r="AR119" s="1826"/>
      <c r="AS119" s="1826"/>
      <c r="AT119" s="1826"/>
      <c r="AU119" s="1826"/>
      <c r="AV119" s="1826"/>
      <c r="AW119" s="1826"/>
      <c r="AX119" s="1826"/>
      <c r="AY119" s="1826"/>
      <c r="AZ119" s="1826"/>
      <c r="BA119" s="1826"/>
      <c r="BB119" s="1826"/>
      <c r="BC119" s="1826"/>
      <c r="BD119" s="1826"/>
      <c r="BE119" s="1826"/>
      <c r="BF119" s="1826"/>
      <c r="BG119" s="1639"/>
    </row>
    <row customHeight="1" ht="0.75">
      <c r="A120" s="1170" t="s">
        <v>1209</v>
      </c>
      <c r="B120" s="1170"/>
      <c r="C120" s="1170"/>
      <c r="D120" s="1164"/>
      <c r="E120" s="1174"/>
      <c r="F120" s="2553"/>
      <c r="G120" s="2532"/>
      <c r="H120" s="2557"/>
      <c r="I120" s="2558"/>
      <c r="J120" s="2559"/>
      <c r="K120" s="2559"/>
      <c r="L120" s="2551"/>
      <c r="M120" s="2285"/>
      <c r="N120" s="2560"/>
      <c r="O120" s="2561"/>
      <c r="P120" s="2605"/>
      <c r="Q120" s="2556"/>
      <c r="R120" s="2556"/>
      <c r="S120" s="2556"/>
      <c r="T120" s="2556"/>
      <c r="U120" s="2556"/>
      <c r="V120" s="2556"/>
      <c r="W120" s="2556"/>
      <c r="X120" s="2556"/>
      <c r="Y120" s="2556"/>
      <c r="Z120" s="2038"/>
      <c r="AA120" s="2039"/>
      <c r="AB120" s="2039"/>
      <c r="AC120" s="2040"/>
      <c r="AD120" s="2040"/>
      <c r="AE120" s="2041"/>
      <c r="AF120" s="2555"/>
      <c r="AG120" s="2551"/>
      <c r="AH120" s="2551"/>
      <c r="AI120" s="2555"/>
      <c r="AJ120" s="2551"/>
      <c r="AK120" s="2551"/>
      <c r="AL120" s="1989"/>
      <c r="AM120" s="1826"/>
      <c r="AN120" s="1826"/>
      <c r="AO120" s="1826"/>
      <c r="AP120" s="1826"/>
      <c r="AQ120" s="1826"/>
      <c r="AR120" s="1826"/>
      <c r="AS120" s="1826"/>
      <c r="AT120" s="1826"/>
      <c r="AU120" s="1826"/>
      <c r="AV120" s="1826"/>
      <c r="AW120" s="1826"/>
      <c r="AX120" s="1826"/>
      <c r="AY120" s="1826"/>
      <c r="AZ120" s="1826"/>
      <c r="BA120" s="1826"/>
      <c r="BB120" s="1826"/>
      <c r="BC120" s="1826"/>
      <c r="BD120" s="1826"/>
      <c r="BE120" s="1826"/>
      <c r="BF120" s="1826"/>
      <c r="BG120" s="1639"/>
    </row>
    <row customHeight="1" ht="0.75">
      <c r="A121" s="1170" t="s">
        <v>1209</v>
      </c>
      <c r="B121" s="1170"/>
      <c r="C121" s="1170"/>
      <c r="D121" s="1164"/>
      <c r="E121" s="1174"/>
      <c r="F121" s="2553"/>
      <c r="G121" s="2532"/>
      <c r="H121" s="2557"/>
      <c r="I121" s="2558"/>
      <c r="J121" s="2559"/>
      <c r="K121" s="2559"/>
      <c r="L121" s="2551"/>
      <c r="M121" s="2285"/>
      <c r="N121" s="2560"/>
      <c r="O121" s="2561"/>
      <c r="P121" s="2606"/>
      <c r="Q121" s="2556"/>
      <c r="R121" s="2556"/>
      <c r="S121" s="2556"/>
      <c r="T121" s="2556"/>
      <c r="U121" s="2556"/>
      <c r="V121" s="2556"/>
      <c r="W121" s="2556"/>
      <c r="X121" s="2556"/>
      <c r="Y121" s="2556"/>
      <c r="Z121" s="2042"/>
      <c r="AA121" s="2043"/>
      <c r="AB121" s="2044"/>
      <c r="AC121" s="2045"/>
      <c r="AD121" s="2044"/>
      <c r="AE121" s="2045"/>
      <c r="AF121" s="2555"/>
      <c r="AG121" s="2551"/>
      <c r="AH121" s="2551"/>
      <c r="AI121" s="2555"/>
      <c r="AJ121" s="2551"/>
      <c r="AK121" s="2551"/>
      <c r="AL121" s="1989"/>
      <c r="AM121" s="1826"/>
      <c r="AN121" s="1826"/>
      <c r="AO121" s="1826"/>
      <c r="AP121" s="1826"/>
      <c r="AQ121" s="1826"/>
      <c r="AR121" s="1826"/>
      <c r="AS121" s="1826"/>
      <c r="AT121" s="1826"/>
      <c r="AU121" s="1826"/>
      <c r="AV121" s="1826"/>
      <c r="AW121" s="1826"/>
      <c r="AX121" s="1826"/>
      <c r="AY121" s="1826"/>
      <c r="AZ121" s="1826"/>
      <c r="BA121" s="1826"/>
      <c r="BB121" s="1826"/>
      <c r="BC121" s="1826"/>
      <c r="BD121" s="1826"/>
      <c r="BE121" s="1826"/>
      <c r="BF121" s="1826"/>
      <c r="BG121" s="1639"/>
    </row>
    <row customHeight="1" ht="0.75">
      <c r="A122" s="1170" t="s">
        <v>1209</v>
      </c>
      <c r="B122" s="1170"/>
      <c r="C122" s="1170"/>
      <c r="D122" s="1164"/>
      <c r="E122" s="1174"/>
      <c r="F122" s="2553"/>
      <c r="G122" s="2532"/>
      <c r="H122" s="2557"/>
      <c r="I122" s="2558"/>
      <c r="J122" s="2559"/>
      <c r="K122" s="2559"/>
      <c r="L122" s="2551"/>
      <c r="M122" s="2285"/>
      <c r="N122" s="2560"/>
      <c r="O122" s="2561"/>
      <c r="P122" s="2607"/>
      <c r="Q122" s="2556"/>
      <c r="R122" s="2556"/>
      <c r="S122" s="2556"/>
      <c r="T122" s="2556"/>
      <c r="U122" s="2556"/>
      <c r="V122" s="2556"/>
      <c r="W122" s="2556"/>
      <c r="X122" s="2556"/>
      <c r="Y122" s="2556"/>
      <c r="Z122" s="2038"/>
      <c r="AA122" s="2039"/>
      <c r="AB122" s="2046"/>
      <c r="AC122" s="2040"/>
      <c r="AD122" s="2040"/>
      <c r="AE122" s="2047"/>
      <c r="AF122" s="2555"/>
      <c r="AG122" s="2551"/>
      <c r="AH122" s="2551"/>
      <c r="AI122" s="2555"/>
      <c r="AJ122" s="2551"/>
      <c r="AK122" s="2551"/>
      <c r="AL122" s="1989"/>
      <c r="AM122" s="1826"/>
      <c r="AN122" s="1826"/>
      <c r="AO122" s="1826"/>
      <c r="AP122" s="1826"/>
      <c r="AQ122" s="1826"/>
      <c r="AR122" s="1826"/>
      <c r="AS122" s="1826"/>
      <c r="AT122" s="1826"/>
      <c r="AU122" s="1826"/>
      <c r="AV122" s="1826"/>
      <c r="AW122" s="1826"/>
      <c r="AX122" s="1826"/>
      <c r="AY122" s="1826"/>
      <c r="AZ122" s="1826"/>
      <c r="BA122" s="1826"/>
      <c r="BB122" s="1826"/>
      <c r="BC122" s="1826"/>
      <c r="BD122" s="1826"/>
      <c r="BE122" s="1826"/>
      <c r="BF122" s="1826"/>
      <c r="BG122" s="1639"/>
    </row>
    <row customHeight="1" ht="0.75">
      <c r="A123" s="1170" t="s">
        <v>1209</v>
      </c>
      <c r="B123" s="1170"/>
      <c r="C123" s="1170"/>
      <c r="D123" s="1164"/>
      <c r="E123" s="1174"/>
      <c r="F123" s="2553"/>
      <c r="G123" s="2532"/>
      <c r="H123" s="2557"/>
      <c r="I123" s="2558"/>
      <c r="J123" s="2559"/>
      <c r="K123" s="2559"/>
      <c r="L123" s="2551"/>
      <c r="M123" s="2285"/>
      <c r="N123" s="2039"/>
      <c r="O123" s="2039"/>
      <c r="P123" s="2046"/>
      <c r="Q123" s="2039"/>
      <c r="R123" s="2039"/>
      <c r="S123" s="2039"/>
      <c r="T123" s="2039"/>
      <c r="U123" s="2039"/>
      <c r="V123" s="2039"/>
      <c r="W123" s="2039"/>
      <c r="X123" s="2039"/>
      <c r="Y123" s="2039"/>
      <c r="Z123" s="2039"/>
      <c r="AA123" s="2039"/>
      <c r="AB123" s="2039"/>
      <c r="AC123" s="2039"/>
      <c r="AD123" s="2039"/>
      <c r="AE123" s="2048"/>
      <c r="AF123" s="2555"/>
      <c r="AG123" s="2551"/>
      <c r="AH123" s="2551"/>
      <c r="AI123" s="2555"/>
      <c r="AJ123" s="2551"/>
      <c r="AK123" s="2551"/>
      <c r="AL123" s="1989"/>
      <c r="AM123" s="1826"/>
      <c r="AN123" s="1826"/>
      <c r="AO123" s="1826"/>
      <c r="AP123" s="1826"/>
      <c r="AQ123" s="1826"/>
      <c r="AR123" s="1826"/>
      <c r="AS123" s="1826"/>
      <c r="AT123" s="1826"/>
      <c r="AU123" s="1826"/>
      <c r="AV123" s="1826"/>
      <c r="AW123" s="1826"/>
      <c r="AX123" s="1826"/>
      <c r="AY123" s="1826"/>
      <c r="AZ123" s="1826"/>
      <c r="BA123" s="1826"/>
      <c r="BB123" s="1826"/>
      <c r="BC123" s="1826"/>
      <c r="BD123" s="1826"/>
      <c r="BE123" s="1826"/>
      <c r="BF123" s="1826"/>
      <c r="BG123" s="1639"/>
    </row>
    <row customHeight="1" ht="12">
      <c r="A124" s="1170" t="s">
        <v>1209</v>
      </c>
      <c r="B124" s="1170"/>
      <c r="C124" s="1170"/>
      <c r="D124" s="1164"/>
      <c r="E124" s="1174"/>
      <c r="F124" s="2554"/>
      <c r="G124" s="1194"/>
      <c r="H124" s="1194"/>
      <c r="I124" s="2552" t="s">
        <v>1300</v>
      </c>
      <c r="J124" s="2552"/>
      <c r="K124" s="2552"/>
      <c r="L124" s="1177"/>
      <c r="M124" s="1177"/>
      <c r="N124" s="1178"/>
      <c r="O124" s="1178"/>
      <c r="P124" s="1178"/>
      <c r="Q124" s="1178"/>
      <c r="R124" s="1178"/>
      <c r="S124" s="1178"/>
      <c r="T124" s="1178"/>
      <c r="U124" s="1178"/>
      <c r="V124" s="1178"/>
      <c r="W124" s="1178"/>
      <c r="X124" s="1178"/>
      <c r="Y124" s="1178"/>
      <c r="Z124" s="1178"/>
      <c r="AA124" s="1178"/>
      <c r="AB124" s="1178"/>
      <c r="AC124" s="1178"/>
      <c r="AD124" s="1178"/>
      <c r="AE124" s="1178"/>
      <c r="AF124" s="1178"/>
      <c r="AG124" s="1177"/>
      <c r="AH124" s="1177"/>
      <c r="AI124" s="1178"/>
      <c r="AJ124" s="1177"/>
      <c r="AK124" s="1178"/>
      <c r="AL124" s="1989"/>
      <c r="AM124" s="1826"/>
      <c r="AN124" s="1826"/>
      <c r="AO124" s="1826"/>
      <c r="AP124" s="1826"/>
      <c r="AQ124" s="1826"/>
      <c r="AR124" s="1826"/>
      <c r="AS124" s="1826"/>
      <c r="AT124" s="1826"/>
      <c r="AU124" s="1826"/>
      <c r="AV124" s="1826"/>
      <c r="AW124" s="1826"/>
      <c r="AX124" s="1826"/>
      <c r="AY124" s="1826"/>
      <c r="AZ124" s="1826"/>
      <c r="BA124" s="1826"/>
      <c r="BB124" s="1826"/>
      <c r="BC124" s="1826"/>
      <c r="BD124" s="1826"/>
      <c r="BE124" s="1826"/>
      <c r="BF124" s="1826"/>
      <c r="BG124" s="1639"/>
    </row>
    <row customHeight="1" ht="0.75">
      <c r="A125" s="1170" t="s">
        <v>1209</v>
      </c>
      <c r="B125" s="1170"/>
      <c r="C125" s="1170"/>
      <c r="D125" s="1164"/>
      <c r="E125" s="1174"/>
      <c r="F125" s="2553">
        <v>2024</v>
      </c>
      <c r="G125" s="2532"/>
      <c r="H125" s="2557" t="s">
        <v>514</v>
      </c>
      <c r="I125" s="2558"/>
      <c r="J125" s="2559"/>
      <c r="K125" s="2559"/>
      <c r="L125" s="2551"/>
      <c r="M125" s="2285"/>
      <c r="N125" s="2037"/>
      <c r="O125" s="2036"/>
      <c r="P125" s="2037"/>
      <c r="Q125" s="2037"/>
      <c r="R125" s="2037"/>
      <c r="S125" s="2037"/>
      <c r="T125" s="2037"/>
      <c r="U125" s="2037"/>
      <c r="V125" s="2037"/>
      <c r="W125" s="2037"/>
      <c r="X125" s="2037"/>
      <c r="Y125" s="2037"/>
      <c r="Z125" s="2037"/>
      <c r="AA125" s="2037"/>
      <c r="AB125" s="2037"/>
      <c r="AC125" s="2037"/>
      <c r="AD125" s="2037"/>
      <c r="AE125" s="2037"/>
      <c r="AF125" s="2555"/>
      <c r="AG125" s="2551"/>
      <c r="AH125" s="2551"/>
      <c r="AI125" s="2555"/>
      <c r="AJ125" s="2551"/>
      <c r="AK125" s="2551"/>
      <c r="AL125" s="1989"/>
      <c r="AM125" s="1826"/>
      <c r="AN125" s="1826"/>
      <c r="AO125" s="1826"/>
      <c r="AP125" s="1826"/>
      <c r="AQ125" s="1826"/>
      <c r="AR125" s="1826"/>
      <c r="AS125" s="1826"/>
      <c r="AT125" s="1826"/>
      <c r="AU125" s="1826"/>
      <c r="AV125" s="1826"/>
      <c r="AW125" s="1826"/>
      <c r="AX125" s="1826"/>
      <c r="AY125" s="1826"/>
      <c r="AZ125" s="1826"/>
      <c r="BA125" s="1826"/>
      <c r="BB125" s="1826"/>
      <c r="BC125" s="1826"/>
      <c r="BD125" s="1826"/>
      <c r="BE125" s="1826"/>
      <c r="BF125" s="1826"/>
      <c r="BG125" s="1639"/>
    </row>
    <row customHeight="1" ht="0.75">
      <c r="A126" s="1170" t="s">
        <v>1209</v>
      </c>
      <c r="B126" s="1170"/>
      <c r="C126" s="1170"/>
      <c r="D126" s="1164"/>
      <c r="E126" s="1174"/>
      <c r="F126" s="2553"/>
      <c r="G126" s="2532"/>
      <c r="H126" s="2557"/>
      <c r="I126" s="2558"/>
      <c r="J126" s="2559"/>
      <c r="K126" s="2559"/>
      <c r="L126" s="2551"/>
      <c r="M126" s="2285"/>
      <c r="N126" s="2560"/>
      <c r="O126" s="2561"/>
      <c r="P126" s="2605"/>
      <c r="Q126" s="2556"/>
      <c r="R126" s="2556"/>
      <c r="S126" s="2556"/>
      <c r="T126" s="2556"/>
      <c r="U126" s="2556"/>
      <c r="V126" s="2556"/>
      <c r="W126" s="2556"/>
      <c r="X126" s="2556"/>
      <c r="Y126" s="2556"/>
      <c r="Z126" s="2038"/>
      <c r="AA126" s="2039"/>
      <c r="AB126" s="2039"/>
      <c r="AC126" s="2040"/>
      <c r="AD126" s="2040"/>
      <c r="AE126" s="2041"/>
      <c r="AF126" s="2555"/>
      <c r="AG126" s="2551"/>
      <c r="AH126" s="2551"/>
      <c r="AI126" s="2555"/>
      <c r="AJ126" s="2551"/>
      <c r="AK126" s="2551"/>
      <c r="AL126" s="1989"/>
      <c r="AM126" s="1826"/>
      <c r="AN126" s="1826"/>
      <c r="AO126" s="1826"/>
      <c r="AP126" s="1826"/>
      <c r="AQ126" s="1826"/>
      <c r="AR126" s="1826"/>
      <c r="AS126" s="1826"/>
      <c r="AT126" s="1826"/>
      <c r="AU126" s="1826"/>
      <c r="AV126" s="1826"/>
      <c r="AW126" s="1826"/>
      <c r="AX126" s="1826"/>
      <c r="AY126" s="1826"/>
      <c r="AZ126" s="1826"/>
      <c r="BA126" s="1826"/>
      <c r="BB126" s="1826"/>
      <c r="BC126" s="1826"/>
      <c r="BD126" s="1826"/>
      <c r="BE126" s="1826"/>
      <c r="BF126" s="1826"/>
      <c r="BG126" s="1639"/>
    </row>
    <row customHeight="1" ht="0.75">
      <c r="A127" s="1170" t="s">
        <v>1209</v>
      </c>
      <c r="B127" s="1170"/>
      <c r="C127" s="1170"/>
      <c r="D127" s="1164"/>
      <c r="E127" s="1174"/>
      <c r="F127" s="2553"/>
      <c r="G127" s="2532"/>
      <c r="H127" s="2557"/>
      <c r="I127" s="2558"/>
      <c r="J127" s="2559"/>
      <c r="K127" s="2559"/>
      <c r="L127" s="2551"/>
      <c r="M127" s="2285"/>
      <c r="N127" s="2560"/>
      <c r="O127" s="2561"/>
      <c r="P127" s="2606"/>
      <c r="Q127" s="2556"/>
      <c r="R127" s="2556"/>
      <c r="S127" s="2556"/>
      <c r="T127" s="2556"/>
      <c r="U127" s="2556"/>
      <c r="V127" s="2556"/>
      <c r="W127" s="2556"/>
      <c r="X127" s="2556"/>
      <c r="Y127" s="2556"/>
      <c r="Z127" s="2042"/>
      <c r="AA127" s="2043"/>
      <c r="AB127" s="2044"/>
      <c r="AC127" s="2045"/>
      <c r="AD127" s="2044"/>
      <c r="AE127" s="2045"/>
      <c r="AF127" s="2555"/>
      <c r="AG127" s="2551"/>
      <c r="AH127" s="2551"/>
      <c r="AI127" s="2555"/>
      <c r="AJ127" s="2551"/>
      <c r="AK127" s="2551"/>
      <c r="AL127" s="1989"/>
      <c r="AM127" s="1826"/>
      <c r="AN127" s="1826"/>
      <c r="AO127" s="1826"/>
      <c r="AP127" s="1826"/>
      <c r="AQ127" s="1826"/>
      <c r="AR127" s="1826"/>
      <c r="AS127" s="1826"/>
      <c r="AT127" s="1826"/>
      <c r="AU127" s="1826"/>
      <c r="AV127" s="1826"/>
      <c r="AW127" s="1826"/>
      <c r="AX127" s="1826"/>
      <c r="AY127" s="1826"/>
      <c r="AZ127" s="1826"/>
      <c r="BA127" s="1826"/>
      <c r="BB127" s="1826"/>
      <c r="BC127" s="1826"/>
      <c r="BD127" s="1826"/>
      <c r="BE127" s="1826"/>
      <c r="BF127" s="1826"/>
      <c r="BG127" s="1639"/>
    </row>
    <row customHeight="1" ht="0.75">
      <c r="A128" s="1170" t="s">
        <v>1209</v>
      </c>
      <c r="B128" s="1170"/>
      <c r="C128" s="1170"/>
      <c r="D128" s="1164"/>
      <c r="E128" s="1174"/>
      <c r="F128" s="2553"/>
      <c r="G128" s="2532"/>
      <c r="H128" s="2557"/>
      <c r="I128" s="2558"/>
      <c r="J128" s="2559"/>
      <c r="K128" s="2559"/>
      <c r="L128" s="2551"/>
      <c r="M128" s="2285"/>
      <c r="N128" s="2560"/>
      <c r="O128" s="2561"/>
      <c r="P128" s="2607"/>
      <c r="Q128" s="2556"/>
      <c r="R128" s="2556"/>
      <c r="S128" s="2556"/>
      <c r="T128" s="2556"/>
      <c r="U128" s="2556"/>
      <c r="V128" s="2556"/>
      <c r="W128" s="2556"/>
      <c r="X128" s="2556"/>
      <c r="Y128" s="2556"/>
      <c r="Z128" s="2038"/>
      <c r="AA128" s="2039"/>
      <c r="AB128" s="2046"/>
      <c r="AC128" s="2040"/>
      <c r="AD128" s="2040"/>
      <c r="AE128" s="2047"/>
      <c r="AF128" s="2555"/>
      <c r="AG128" s="2551"/>
      <c r="AH128" s="2551"/>
      <c r="AI128" s="2555"/>
      <c r="AJ128" s="2551"/>
      <c r="AK128" s="2551"/>
      <c r="AL128" s="1989"/>
      <c r="AM128" s="1826"/>
      <c r="AN128" s="1826"/>
      <c r="AO128" s="1826"/>
      <c r="AP128" s="1826"/>
      <c r="AQ128" s="1826"/>
      <c r="AR128" s="1826"/>
      <c r="AS128" s="1826"/>
      <c r="AT128" s="1826"/>
      <c r="AU128" s="1826"/>
      <c r="AV128" s="1826"/>
      <c r="AW128" s="1826"/>
      <c r="AX128" s="1826"/>
      <c r="AY128" s="1826"/>
      <c r="AZ128" s="1826"/>
      <c r="BA128" s="1826"/>
      <c r="BB128" s="1826"/>
      <c r="BC128" s="1826"/>
      <c r="BD128" s="1826"/>
      <c r="BE128" s="1826"/>
      <c r="BF128" s="1826"/>
      <c r="BG128" s="1639"/>
    </row>
    <row customHeight="1" ht="0.75">
      <c r="A129" s="1170" t="s">
        <v>1209</v>
      </c>
      <c r="B129" s="1170"/>
      <c r="C129" s="1170"/>
      <c r="D129" s="1164"/>
      <c r="E129" s="1174"/>
      <c r="F129" s="2553"/>
      <c r="G129" s="2532"/>
      <c r="H129" s="2557"/>
      <c r="I129" s="2558"/>
      <c r="J129" s="2559"/>
      <c r="K129" s="2559"/>
      <c r="L129" s="2551"/>
      <c r="M129" s="2285"/>
      <c r="N129" s="2039"/>
      <c r="O129" s="2039"/>
      <c r="P129" s="2046"/>
      <c r="Q129" s="2039"/>
      <c r="R129" s="2039"/>
      <c r="S129" s="2039"/>
      <c r="T129" s="2039"/>
      <c r="U129" s="2039"/>
      <c r="V129" s="2039"/>
      <c r="W129" s="2039"/>
      <c r="X129" s="2039"/>
      <c r="Y129" s="2039"/>
      <c r="Z129" s="2039"/>
      <c r="AA129" s="2039"/>
      <c r="AB129" s="2039"/>
      <c r="AC129" s="2039"/>
      <c r="AD129" s="2039"/>
      <c r="AE129" s="2048"/>
      <c r="AF129" s="2555"/>
      <c r="AG129" s="2551"/>
      <c r="AH129" s="2551"/>
      <c r="AI129" s="2555"/>
      <c r="AJ129" s="2551"/>
      <c r="AK129" s="2551"/>
      <c r="AL129" s="1989"/>
      <c r="AM129" s="1826"/>
      <c r="AN129" s="1826"/>
      <c r="AO129" s="1826"/>
      <c r="AP129" s="1826"/>
      <c r="AQ129" s="1826"/>
      <c r="AR129" s="1826"/>
      <c r="AS129" s="1826"/>
      <c r="AT129" s="1826"/>
      <c r="AU129" s="1826"/>
      <c r="AV129" s="1826"/>
      <c r="AW129" s="1826"/>
      <c r="AX129" s="1826"/>
      <c r="AY129" s="1826"/>
      <c r="AZ129" s="1826"/>
      <c r="BA129" s="1826"/>
      <c r="BB129" s="1826"/>
      <c r="BC129" s="1826"/>
      <c r="BD129" s="1826"/>
      <c r="BE129" s="1826"/>
      <c r="BF129" s="1826"/>
      <c r="BG129" s="1639"/>
    </row>
    <row customHeight="1" ht="11.25">
      <c r="A130" s="1170" t="s">
        <v>1209</v>
      </c>
      <c r="B130" s="1170"/>
      <c r="C130" s="1170"/>
      <c r="D130" s="1164"/>
      <c r="E130" s="1174"/>
      <c r="F130" s="1832"/>
      <c r="G130" s="687" t="s">
        <v>103</v>
      </c>
      <c r="H130" s="2532" t="s">
        <v>105</v>
      </c>
      <c r="I130" s="2533"/>
      <c r="J130" s="2502"/>
      <c r="K130" s="2534" t="s">
        <v>1322</v>
      </c>
      <c r="L130" s="2124" t="s">
        <v>19</v>
      </c>
      <c r="M130" s="2125"/>
      <c r="N130" s="1987"/>
      <c r="O130" s="1181" t="s">
        <v>514</v>
      </c>
      <c r="P130" s="1182"/>
      <c r="Q130" s="1182"/>
      <c r="R130" s="1182"/>
      <c r="S130" s="1182"/>
      <c r="T130" s="1182"/>
      <c r="U130" s="1182"/>
      <c r="V130" s="1182"/>
      <c r="W130" s="1182"/>
      <c r="X130" s="1182"/>
      <c r="Y130" s="1182"/>
      <c r="Z130" s="1182"/>
      <c r="AA130" s="1182"/>
      <c r="AB130" s="1182"/>
      <c r="AC130" s="1182"/>
      <c r="AD130" s="1182"/>
      <c r="AE130" s="1182"/>
      <c r="AF130" s="2523">
        <v>8</v>
      </c>
      <c r="AG130" s="2524" t="s">
        <v>1302</v>
      </c>
      <c r="AH130" s="2524" t="s">
        <v>1323</v>
      </c>
      <c r="AI130" s="2523">
        <v>8</v>
      </c>
      <c r="AJ130" s="2524" t="s">
        <v>1302</v>
      </c>
      <c r="AK130" s="2524" t="s">
        <v>1323</v>
      </c>
      <c r="AL130" s="1989"/>
      <c r="AM130" s="1826"/>
      <c r="AN130" s="1826"/>
      <c r="AO130" s="1826"/>
      <c r="AP130" s="1826"/>
      <c r="AQ130" s="1826"/>
      <c r="AR130" s="1826"/>
      <c r="AS130" s="1826"/>
      <c r="AT130" s="1826"/>
      <c r="AU130" s="1826"/>
      <c r="AV130" s="1826"/>
      <c r="AW130" s="1826"/>
      <c r="AX130" s="1826"/>
      <c r="AY130" s="1826"/>
      <c r="AZ130" s="1826"/>
      <c r="BA130" s="1826"/>
      <c r="BB130" s="1826"/>
      <c r="BC130" s="1826"/>
      <c r="BD130" s="1826"/>
      <c r="BE130" s="1826"/>
      <c r="BF130" s="1826"/>
      <c r="BG130" s="1639"/>
    </row>
    <row customHeight="1" ht="11.25">
      <c r="A131" s="1170" t="s">
        <v>1209</v>
      </c>
      <c r="B131" s="1170"/>
      <c r="C131" s="1170"/>
      <c r="D131" s="1164"/>
      <c r="E131" s="1174"/>
      <c r="F131" s="1832"/>
      <c r="G131" s="1833"/>
      <c r="H131" s="2532" t="s">
        <v>514</v>
      </c>
      <c r="I131" s="2533"/>
      <c r="J131" s="2502"/>
      <c r="K131" s="2534"/>
      <c r="L131" s="2124"/>
      <c r="M131" s="2125"/>
      <c r="N131" s="2525"/>
      <c r="O131" s="2526">
        <v>1</v>
      </c>
      <c r="P131" s="2527" t="s">
        <v>19</v>
      </c>
      <c r="Q131" s="2530" t="s">
        <v>22</v>
      </c>
      <c r="R131" s="2530" t="s">
        <v>22</v>
      </c>
      <c r="S131" s="2530" t="s">
        <v>22</v>
      </c>
      <c r="T131" s="2530" t="s">
        <v>22</v>
      </c>
      <c r="U131" s="2530" t="s">
        <v>22</v>
      </c>
      <c r="V131" s="2530" t="s">
        <v>22</v>
      </c>
      <c r="W131" s="2530" t="s">
        <v>22</v>
      </c>
      <c r="X131" s="2530" t="s">
        <v>22</v>
      </c>
      <c r="Y131" s="2530"/>
      <c r="Z131" s="1179"/>
      <c r="AA131" s="1180"/>
      <c r="AB131" s="1180"/>
      <c r="AC131" s="1184"/>
      <c r="AD131" s="1184"/>
      <c r="AE131" s="1185"/>
      <c r="AF131" s="2523"/>
      <c r="AG131" s="2524"/>
      <c r="AH131" s="2524"/>
      <c r="AI131" s="2523"/>
      <c r="AJ131" s="2524"/>
      <c r="AK131" s="2524"/>
      <c r="AL131" s="1989"/>
      <c r="AM131" s="1826"/>
      <c r="AN131" s="1826"/>
      <c r="AO131" s="1826"/>
      <c r="AP131" s="1826"/>
      <c r="AQ131" s="1826"/>
      <c r="AR131" s="1826"/>
      <c r="AS131" s="1826"/>
      <c r="AT131" s="1826"/>
      <c r="AU131" s="1826"/>
      <c r="AV131" s="1826"/>
      <c r="AW131" s="1826"/>
      <c r="AX131" s="1826"/>
      <c r="AY131" s="1826"/>
      <c r="AZ131" s="1826"/>
      <c r="BA131" s="1826"/>
      <c r="BB131" s="1826"/>
      <c r="BC131" s="1826"/>
      <c r="BD131" s="1826"/>
      <c r="BE131" s="1826"/>
      <c r="BF131" s="1826"/>
      <c r="BG131" s="1639"/>
    </row>
    <row customHeight="1" ht="11.25">
      <c r="A132" s="1170" t="s">
        <v>1209</v>
      </c>
      <c r="B132" s="1170"/>
      <c r="C132" s="1170"/>
      <c r="D132" s="1164"/>
      <c r="E132" s="1174"/>
      <c r="F132" s="1832"/>
      <c r="G132" s="1833"/>
      <c r="H132" s="2532" t="s">
        <v>514</v>
      </c>
      <c r="I132" s="2533"/>
      <c r="J132" s="2502"/>
      <c r="K132" s="2534"/>
      <c r="L132" s="2124"/>
      <c r="M132" s="2125"/>
      <c r="N132" s="2525"/>
      <c r="O132" s="2526"/>
      <c r="P132" s="2528"/>
      <c r="Q132" s="2530"/>
      <c r="R132" s="2530"/>
      <c r="S132" s="2531"/>
      <c r="T132" s="2530"/>
      <c r="U132" s="2530"/>
      <c r="V132" s="2530"/>
      <c r="W132" s="2530"/>
      <c r="X132" s="2530"/>
      <c r="Y132" s="2530"/>
      <c r="Z132" s="1831"/>
      <c r="AA132" s="1797">
        <v>1</v>
      </c>
      <c r="AB132" s="1183" t="s">
        <v>1324</v>
      </c>
      <c r="AC132" s="1173">
        <v>185.8</v>
      </c>
      <c r="AD132" s="1183" t="s">
        <v>1325</v>
      </c>
      <c r="AE132" s="1173">
        <v>185.8</v>
      </c>
      <c r="AF132" s="2523"/>
      <c r="AG132" s="2524"/>
      <c r="AH132" s="2524"/>
      <c r="AI132" s="2523"/>
      <c r="AJ132" s="2524"/>
      <c r="AK132" s="2524"/>
      <c r="AL132" s="1989"/>
      <c r="AM132" s="1826"/>
      <c r="AN132" s="1826"/>
      <c r="AO132" s="1826"/>
      <c r="AP132" s="1826"/>
      <c r="AQ132" s="1826"/>
      <c r="AR132" s="1826"/>
      <c r="AS132" s="1826"/>
      <c r="AT132" s="1826"/>
      <c r="AU132" s="1826"/>
      <c r="AV132" s="1826"/>
      <c r="AW132" s="1826"/>
      <c r="AX132" s="1826"/>
      <c r="AY132" s="1826"/>
      <c r="AZ132" s="1826"/>
      <c r="BA132" s="1826"/>
      <c r="BB132" s="1826"/>
      <c r="BC132" s="1826"/>
      <c r="BD132" s="1826"/>
      <c r="BE132" s="1826"/>
      <c r="BF132" s="1826"/>
      <c r="BG132" s="1639"/>
    </row>
    <row customHeight="1" ht="11.25">
      <c r="A133" s="1170" t="s">
        <v>1209</v>
      </c>
      <c r="B133" s="1170"/>
      <c r="C133" s="1170"/>
      <c r="D133" s="1164"/>
      <c r="E133" s="1174"/>
      <c r="F133" s="1832"/>
      <c r="G133" s="1833"/>
      <c r="H133" s="2532" t="s">
        <v>514</v>
      </c>
      <c r="I133" s="2533"/>
      <c r="J133" s="2502"/>
      <c r="K133" s="2534"/>
      <c r="L133" s="2124"/>
      <c r="M133" s="2125"/>
      <c r="N133" s="2525"/>
      <c r="O133" s="2526"/>
      <c r="P133" s="2529"/>
      <c r="Q133" s="2530"/>
      <c r="R133" s="2530"/>
      <c r="S133" s="2531"/>
      <c r="T133" s="2530"/>
      <c r="U133" s="2530"/>
      <c r="V133" s="2530"/>
      <c r="W133" s="2530"/>
      <c r="X133" s="2530"/>
      <c r="Y133" s="2530"/>
      <c r="Z133" s="1179"/>
      <c r="AA133" s="1180"/>
      <c r="AB133" s="1245" t="s">
        <v>1313</v>
      </c>
      <c r="AC133" s="1184"/>
      <c r="AD133" s="1184"/>
      <c r="AE133" s="1186"/>
      <c r="AF133" s="2523"/>
      <c r="AG133" s="2524"/>
      <c r="AH133" s="2524"/>
      <c r="AI133" s="2523"/>
      <c r="AJ133" s="2524"/>
      <c r="AK133" s="2524"/>
      <c r="AL133" s="1989"/>
      <c r="AM133" s="1826"/>
      <c r="AN133" s="1826"/>
      <c r="AO133" s="1826"/>
      <c r="AP133" s="1826"/>
      <c r="AQ133" s="1826"/>
      <c r="AR133" s="1826"/>
      <c r="AS133" s="1826"/>
      <c r="AT133" s="1826"/>
      <c r="AU133" s="1826"/>
      <c r="AV133" s="1826"/>
      <c r="AW133" s="1826"/>
      <c r="AX133" s="1826"/>
      <c r="AY133" s="1826"/>
      <c r="AZ133" s="1826"/>
      <c r="BA133" s="1826"/>
      <c r="BB133" s="1826"/>
      <c r="BC133" s="1826"/>
      <c r="BD133" s="1826"/>
      <c r="BE133" s="1826"/>
      <c r="BF133" s="1826"/>
      <c r="BG133" s="1639"/>
    </row>
    <row customHeight="1" ht="11.25">
      <c r="A134" s="1170" t="s">
        <v>1209</v>
      </c>
      <c r="B134" s="1170"/>
      <c r="C134" s="1170"/>
      <c r="D134" s="1164"/>
      <c r="E134" s="1174"/>
      <c r="F134" s="1832"/>
      <c r="G134" s="1833"/>
      <c r="H134" s="2532" t="s">
        <v>514</v>
      </c>
      <c r="I134" s="2533"/>
      <c r="J134" s="2502"/>
      <c r="K134" s="2534"/>
      <c r="L134" s="2124"/>
      <c r="M134" s="2125"/>
      <c r="N134" s="1179"/>
      <c r="O134" s="1180"/>
      <c r="P134" s="1172" t="s">
        <v>1314</v>
      </c>
      <c r="Q134" s="1180"/>
      <c r="R134" s="1180"/>
      <c r="S134" s="1180"/>
      <c r="T134" s="1180"/>
      <c r="U134" s="1180"/>
      <c r="V134" s="1180"/>
      <c r="W134" s="1180"/>
      <c r="X134" s="1180"/>
      <c r="Y134" s="1180"/>
      <c r="Z134" s="1180"/>
      <c r="AA134" s="1180"/>
      <c r="AB134" s="1180"/>
      <c r="AC134" s="1180"/>
      <c r="AD134" s="1180"/>
      <c r="AE134" s="1187"/>
      <c r="AF134" s="2523"/>
      <c r="AG134" s="2524"/>
      <c r="AH134" s="2524"/>
      <c r="AI134" s="2523"/>
      <c r="AJ134" s="2524"/>
      <c r="AK134" s="2524"/>
      <c r="AL134" s="1989"/>
      <c r="AM134" s="1826"/>
      <c r="AN134" s="1826"/>
      <c r="AO134" s="1826"/>
      <c r="AP134" s="1826"/>
      <c r="AQ134" s="1826"/>
      <c r="AR134" s="1826"/>
      <c r="AS134" s="1826"/>
      <c r="AT134" s="1826"/>
      <c r="AU134" s="1826"/>
      <c r="AV134" s="1826"/>
      <c r="AW134" s="1826"/>
      <c r="AX134" s="1826"/>
      <c r="AY134" s="1826"/>
      <c r="AZ134" s="1826"/>
      <c r="BA134" s="1826"/>
      <c r="BB134" s="1826"/>
      <c r="BC134" s="1826"/>
      <c r="BD134" s="1826"/>
      <c r="BE134" s="1826"/>
      <c r="BF134" s="1826"/>
      <c r="BG134" s="1639"/>
    </row>
    <row customHeight="1" ht="12">
      <c r="A135" s="1170" t="s">
        <v>1209</v>
      </c>
      <c r="B135" s="1170"/>
      <c r="C135" s="1170"/>
      <c r="D135" s="1164"/>
      <c r="E135" s="1174"/>
      <c r="F135" s="2554"/>
      <c r="G135" s="1194"/>
      <c r="H135" s="1194"/>
      <c r="I135" s="2552" t="s">
        <v>1300</v>
      </c>
      <c r="J135" s="2552"/>
      <c r="K135" s="2552"/>
      <c r="L135" s="1177"/>
      <c r="M135" s="1177"/>
      <c r="N135" s="1178"/>
      <c r="O135" s="1178"/>
      <c r="P135" s="1178"/>
      <c r="Q135" s="1178"/>
      <c r="R135" s="1178"/>
      <c r="S135" s="1178"/>
      <c r="T135" s="1178"/>
      <c r="U135" s="1178"/>
      <c r="V135" s="1178"/>
      <c r="W135" s="1178"/>
      <c r="X135" s="1178"/>
      <c r="Y135" s="1178"/>
      <c r="Z135" s="1178"/>
      <c r="AA135" s="1178"/>
      <c r="AB135" s="1178"/>
      <c r="AC135" s="1178"/>
      <c r="AD135" s="1178"/>
      <c r="AE135" s="1178"/>
      <c r="AF135" s="1178"/>
      <c r="AG135" s="1177"/>
      <c r="AH135" s="1177"/>
      <c r="AI135" s="1178"/>
      <c r="AJ135" s="1177"/>
      <c r="AK135" s="1178"/>
      <c r="AL135" s="1989"/>
      <c r="AM135" s="1826"/>
      <c r="AN135" s="1826"/>
      <c r="AO135" s="1826"/>
      <c r="AP135" s="1826"/>
      <c r="AQ135" s="1826"/>
      <c r="AR135" s="1826"/>
      <c r="AS135" s="1826"/>
      <c r="AT135" s="1826"/>
      <c r="AU135" s="1826"/>
      <c r="AV135" s="1826"/>
      <c r="AW135" s="1826"/>
      <c r="AX135" s="1826"/>
      <c r="AY135" s="1826"/>
      <c r="AZ135" s="1826"/>
      <c r="BA135" s="1826"/>
      <c r="BB135" s="1826"/>
      <c r="BC135" s="1826"/>
      <c r="BD135" s="1826"/>
      <c r="BE135" s="1826"/>
      <c r="BF135" s="1826"/>
      <c r="BG135" s="1639"/>
    </row>
    <row customHeight="1" ht="0.75">
      <c r="A136" s="1170" t="s">
        <v>1209</v>
      </c>
      <c r="B136" s="1170"/>
      <c r="C136" s="1170"/>
      <c r="D136" s="1164"/>
      <c r="E136" s="1174"/>
      <c r="F136" s="2553">
        <v>2025</v>
      </c>
      <c r="G136" s="2532"/>
      <c r="H136" s="2557" t="s">
        <v>514</v>
      </c>
      <c r="I136" s="2558"/>
      <c r="J136" s="2559"/>
      <c r="K136" s="2559"/>
      <c r="L136" s="2551"/>
      <c r="M136" s="2285"/>
      <c r="N136" s="2037"/>
      <c r="O136" s="2036"/>
      <c r="P136" s="2037"/>
      <c r="Q136" s="2037"/>
      <c r="R136" s="2037"/>
      <c r="S136" s="2037"/>
      <c r="T136" s="2037"/>
      <c r="U136" s="2037"/>
      <c r="V136" s="2037"/>
      <c r="W136" s="2037"/>
      <c r="X136" s="2037"/>
      <c r="Y136" s="2037"/>
      <c r="Z136" s="2037"/>
      <c r="AA136" s="2037"/>
      <c r="AB136" s="2037"/>
      <c r="AC136" s="2037"/>
      <c r="AD136" s="2037"/>
      <c r="AE136" s="2037"/>
      <c r="AF136" s="2555"/>
      <c r="AG136" s="2551"/>
      <c r="AH136" s="2551"/>
      <c r="AI136" s="2555"/>
      <c r="AJ136" s="2551"/>
      <c r="AK136" s="2551"/>
      <c r="AL136" s="1989"/>
      <c r="AM136" s="1826"/>
      <c r="AN136" s="1826"/>
      <c r="AO136" s="1826"/>
      <c r="AP136" s="1826"/>
      <c r="AQ136" s="1826"/>
      <c r="AR136" s="1826"/>
      <c r="AS136" s="1826"/>
      <c r="AT136" s="1826"/>
      <c r="AU136" s="1826"/>
      <c r="AV136" s="1826"/>
      <c r="AW136" s="1826"/>
      <c r="AX136" s="1826"/>
      <c r="AY136" s="1826"/>
      <c r="AZ136" s="1826"/>
      <c r="BA136" s="1826"/>
      <c r="BB136" s="1826"/>
      <c r="BC136" s="1826"/>
      <c r="BD136" s="1826"/>
      <c r="BE136" s="1826"/>
      <c r="BF136" s="1826"/>
      <c r="BG136" s="1639"/>
    </row>
    <row customHeight="1" ht="0.75">
      <c r="A137" s="1170" t="s">
        <v>1209</v>
      </c>
      <c r="B137" s="1170"/>
      <c r="C137" s="1170"/>
      <c r="D137" s="1164"/>
      <c r="E137" s="1174"/>
      <c r="F137" s="2553"/>
      <c r="G137" s="2532"/>
      <c r="H137" s="2557"/>
      <c r="I137" s="2558"/>
      <c r="J137" s="2559"/>
      <c r="K137" s="2559"/>
      <c r="L137" s="2551"/>
      <c r="M137" s="2285"/>
      <c r="N137" s="2560"/>
      <c r="O137" s="2561"/>
      <c r="P137" s="2605"/>
      <c r="Q137" s="2556"/>
      <c r="R137" s="2556"/>
      <c r="S137" s="2556"/>
      <c r="T137" s="2556"/>
      <c r="U137" s="2556"/>
      <c r="V137" s="2556"/>
      <c r="W137" s="2556"/>
      <c r="X137" s="2556"/>
      <c r="Y137" s="2556"/>
      <c r="Z137" s="2038"/>
      <c r="AA137" s="2039"/>
      <c r="AB137" s="2039"/>
      <c r="AC137" s="2040"/>
      <c r="AD137" s="2040"/>
      <c r="AE137" s="2041"/>
      <c r="AF137" s="2555"/>
      <c r="AG137" s="2551"/>
      <c r="AH137" s="2551"/>
      <c r="AI137" s="2555"/>
      <c r="AJ137" s="2551"/>
      <c r="AK137" s="2551"/>
      <c r="AL137" s="1989"/>
      <c r="AM137" s="1826"/>
      <c r="AN137" s="1826"/>
      <c r="AO137" s="1826"/>
      <c r="AP137" s="1826"/>
      <c r="AQ137" s="1826"/>
      <c r="AR137" s="1826"/>
      <c r="AS137" s="1826"/>
      <c r="AT137" s="1826"/>
      <c r="AU137" s="1826"/>
      <c r="AV137" s="1826"/>
      <c r="AW137" s="1826"/>
      <c r="AX137" s="1826"/>
      <c r="AY137" s="1826"/>
      <c r="AZ137" s="1826"/>
      <c r="BA137" s="1826"/>
      <c r="BB137" s="1826"/>
      <c r="BC137" s="1826"/>
      <c r="BD137" s="1826"/>
      <c r="BE137" s="1826"/>
      <c r="BF137" s="1826"/>
      <c r="BG137" s="1639"/>
    </row>
    <row customHeight="1" ht="0.75">
      <c r="A138" s="1170" t="s">
        <v>1209</v>
      </c>
      <c r="B138" s="1170"/>
      <c r="C138" s="1170"/>
      <c r="D138" s="1164"/>
      <c r="E138" s="1174"/>
      <c r="F138" s="2553"/>
      <c r="G138" s="2532"/>
      <c r="H138" s="2557"/>
      <c r="I138" s="2558"/>
      <c r="J138" s="2559"/>
      <c r="K138" s="2559"/>
      <c r="L138" s="2551"/>
      <c r="M138" s="2285"/>
      <c r="N138" s="2560"/>
      <c r="O138" s="2561"/>
      <c r="P138" s="2606"/>
      <c r="Q138" s="2556"/>
      <c r="R138" s="2556"/>
      <c r="S138" s="2556"/>
      <c r="T138" s="2556"/>
      <c r="U138" s="2556"/>
      <c r="V138" s="2556"/>
      <c r="W138" s="2556"/>
      <c r="X138" s="2556"/>
      <c r="Y138" s="2556"/>
      <c r="Z138" s="2042"/>
      <c r="AA138" s="2043"/>
      <c r="AB138" s="2044"/>
      <c r="AC138" s="2045"/>
      <c r="AD138" s="2044"/>
      <c r="AE138" s="2045"/>
      <c r="AF138" s="2555"/>
      <c r="AG138" s="2551"/>
      <c r="AH138" s="2551"/>
      <c r="AI138" s="2555"/>
      <c r="AJ138" s="2551"/>
      <c r="AK138" s="2551"/>
      <c r="AL138" s="1989"/>
      <c r="AM138" s="1826"/>
      <c r="AN138" s="1826"/>
      <c r="AO138" s="1826"/>
      <c r="AP138" s="1826"/>
      <c r="AQ138" s="1826"/>
      <c r="AR138" s="1826"/>
      <c r="AS138" s="1826"/>
      <c r="AT138" s="1826"/>
      <c r="AU138" s="1826"/>
      <c r="AV138" s="1826"/>
      <c r="AW138" s="1826"/>
      <c r="AX138" s="1826"/>
      <c r="AY138" s="1826"/>
      <c r="AZ138" s="1826"/>
      <c r="BA138" s="1826"/>
      <c r="BB138" s="1826"/>
      <c r="BC138" s="1826"/>
      <c r="BD138" s="1826"/>
      <c r="BE138" s="1826"/>
      <c r="BF138" s="1826"/>
      <c r="BG138" s="1639"/>
    </row>
    <row customHeight="1" ht="0.75">
      <c r="A139" s="1170" t="s">
        <v>1209</v>
      </c>
      <c r="B139" s="1170"/>
      <c r="C139" s="1170"/>
      <c r="D139" s="1164"/>
      <c r="E139" s="1174"/>
      <c r="F139" s="2553"/>
      <c r="G139" s="2532"/>
      <c r="H139" s="2557"/>
      <c r="I139" s="2558"/>
      <c r="J139" s="2559"/>
      <c r="K139" s="2559"/>
      <c r="L139" s="2551"/>
      <c r="M139" s="2285"/>
      <c r="N139" s="2560"/>
      <c r="O139" s="2561"/>
      <c r="P139" s="2607"/>
      <c r="Q139" s="2556"/>
      <c r="R139" s="2556"/>
      <c r="S139" s="2556"/>
      <c r="T139" s="2556"/>
      <c r="U139" s="2556"/>
      <c r="V139" s="2556"/>
      <c r="W139" s="2556"/>
      <c r="X139" s="2556"/>
      <c r="Y139" s="2556"/>
      <c r="Z139" s="2038"/>
      <c r="AA139" s="2039"/>
      <c r="AB139" s="2046"/>
      <c r="AC139" s="2040"/>
      <c r="AD139" s="2040"/>
      <c r="AE139" s="2047"/>
      <c r="AF139" s="2555"/>
      <c r="AG139" s="2551"/>
      <c r="AH139" s="2551"/>
      <c r="AI139" s="2555"/>
      <c r="AJ139" s="2551"/>
      <c r="AK139" s="2551"/>
      <c r="AL139" s="1989"/>
      <c r="AM139" s="1826"/>
      <c r="AN139" s="1826"/>
      <c r="AO139" s="1826"/>
      <c r="AP139" s="1826"/>
      <c r="AQ139" s="1826"/>
      <c r="AR139" s="1826"/>
      <c r="AS139" s="1826"/>
      <c r="AT139" s="1826"/>
      <c r="AU139" s="1826"/>
      <c r="AV139" s="1826"/>
      <c r="AW139" s="1826"/>
      <c r="AX139" s="1826"/>
      <c r="AY139" s="1826"/>
      <c r="AZ139" s="1826"/>
      <c r="BA139" s="1826"/>
      <c r="BB139" s="1826"/>
      <c r="BC139" s="1826"/>
      <c r="BD139" s="1826"/>
      <c r="BE139" s="1826"/>
      <c r="BF139" s="1826"/>
      <c r="BG139" s="1639"/>
    </row>
    <row customHeight="1" ht="0.75">
      <c r="A140" s="1170" t="s">
        <v>1209</v>
      </c>
      <c r="B140" s="1170"/>
      <c r="C140" s="1170"/>
      <c r="D140" s="1164"/>
      <c r="E140" s="1174"/>
      <c r="F140" s="2553"/>
      <c r="G140" s="2532"/>
      <c r="H140" s="2557"/>
      <c r="I140" s="2558"/>
      <c r="J140" s="2559"/>
      <c r="K140" s="2559"/>
      <c r="L140" s="2551"/>
      <c r="M140" s="2285"/>
      <c r="N140" s="2039"/>
      <c r="O140" s="2039"/>
      <c r="P140" s="2046"/>
      <c r="Q140" s="2039"/>
      <c r="R140" s="2039"/>
      <c r="S140" s="2039"/>
      <c r="T140" s="2039"/>
      <c r="U140" s="2039"/>
      <c r="V140" s="2039"/>
      <c r="W140" s="2039"/>
      <c r="X140" s="2039"/>
      <c r="Y140" s="2039"/>
      <c r="Z140" s="2039"/>
      <c r="AA140" s="2039"/>
      <c r="AB140" s="2039"/>
      <c r="AC140" s="2039"/>
      <c r="AD140" s="2039"/>
      <c r="AE140" s="2048"/>
      <c r="AF140" s="2555"/>
      <c r="AG140" s="2551"/>
      <c r="AH140" s="2551"/>
      <c r="AI140" s="2555"/>
      <c r="AJ140" s="2551"/>
      <c r="AK140" s="2551"/>
      <c r="AL140" s="1989"/>
      <c r="AM140" s="1826"/>
      <c r="AN140" s="1826"/>
      <c r="AO140" s="1826"/>
      <c r="AP140" s="1826"/>
      <c r="AQ140" s="1826"/>
      <c r="AR140" s="1826"/>
      <c r="AS140" s="1826"/>
      <c r="AT140" s="1826"/>
      <c r="AU140" s="1826"/>
      <c r="AV140" s="1826"/>
      <c r="AW140" s="1826"/>
      <c r="AX140" s="1826"/>
      <c r="AY140" s="1826"/>
      <c r="AZ140" s="1826"/>
      <c r="BA140" s="1826"/>
      <c r="BB140" s="1826"/>
      <c r="BC140" s="1826"/>
      <c r="BD140" s="1826"/>
      <c r="BE140" s="1826"/>
      <c r="BF140" s="1826"/>
      <c r="BG140" s="1639"/>
    </row>
    <row customHeight="1" ht="12">
      <c r="A141" s="1170" t="s">
        <v>1209</v>
      </c>
      <c r="B141" s="1170"/>
      <c r="C141" s="1170"/>
      <c r="D141" s="1164"/>
      <c r="E141" s="1174"/>
      <c r="F141" s="2554"/>
      <c r="G141" s="1194"/>
      <c r="H141" s="1194"/>
      <c r="I141" s="2552" t="s">
        <v>1300</v>
      </c>
      <c r="J141" s="2552"/>
      <c r="K141" s="2552"/>
      <c r="L141" s="1177"/>
      <c r="M141" s="1177"/>
      <c r="N141" s="1178"/>
      <c r="O141" s="1178"/>
      <c r="P141" s="1178"/>
      <c r="Q141" s="1178"/>
      <c r="R141" s="1178"/>
      <c r="S141" s="1178"/>
      <c r="T141" s="1178"/>
      <c r="U141" s="1178"/>
      <c r="V141" s="1178"/>
      <c r="W141" s="1178"/>
      <c r="X141" s="1178"/>
      <c r="Y141" s="1178"/>
      <c r="Z141" s="1178"/>
      <c r="AA141" s="1178"/>
      <c r="AB141" s="1178"/>
      <c r="AC141" s="1178"/>
      <c r="AD141" s="1178"/>
      <c r="AE141" s="1178"/>
      <c r="AF141" s="1178"/>
      <c r="AG141" s="1177"/>
      <c r="AH141" s="1177"/>
      <c r="AI141" s="1178"/>
      <c r="AJ141" s="1177"/>
      <c r="AK141" s="1178"/>
      <c r="AL141" s="1989"/>
      <c r="AM141" s="1826"/>
      <c r="AN141" s="1826"/>
      <c r="AO141" s="1826"/>
      <c r="AP141" s="1826"/>
      <c r="AQ141" s="1826"/>
      <c r="AR141" s="1826"/>
      <c r="AS141" s="1826"/>
      <c r="AT141" s="1826"/>
      <c r="AU141" s="1826"/>
      <c r="AV141" s="1826"/>
      <c r="AW141" s="1826"/>
      <c r="AX141" s="1826"/>
      <c r="AY141" s="1826"/>
      <c r="AZ141" s="1826"/>
      <c r="BA141" s="1826"/>
      <c r="BB141" s="1826"/>
      <c r="BC141" s="1826"/>
      <c r="BD141" s="1826"/>
      <c r="BE141" s="1826"/>
      <c r="BF141" s="1826"/>
      <c r="BG141" s="1639"/>
    </row>
    <row customHeight="1" ht="0.75">
      <c r="A142" s="1170" t="s">
        <v>1209</v>
      </c>
      <c r="B142" s="1170"/>
      <c r="C142" s="1170"/>
      <c r="D142" s="1164"/>
      <c r="E142" s="1174"/>
      <c r="F142" s="2553">
        <v>2026</v>
      </c>
      <c r="G142" s="2532"/>
      <c r="H142" s="2557" t="s">
        <v>514</v>
      </c>
      <c r="I142" s="2558"/>
      <c r="J142" s="2559"/>
      <c r="K142" s="2559"/>
      <c r="L142" s="2551"/>
      <c r="M142" s="2285"/>
      <c r="N142" s="2037"/>
      <c r="O142" s="2036"/>
      <c r="P142" s="2037"/>
      <c r="Q142" s="2037"/>
      <c r="R142" s="2037"/>
      <c r="S142" s="2037"/>
      <c r="T142" s="2037"/>
      <c r="U142" s="2037"/>
      <c r="V142" s="2037"/>
      <c r="W142" s="2037"/>
      <c r="X142" s="2037"/>
      <c r="Y142" s="2037"/>
      <c r="Z142" s="2037"/>
      <c r="AA142" s="2037"/>
      <c r="AB142" s="2037"/>
      <c r="AC142" s="2037"/>
      <c r="AD142" s="2037"/>
      <c r="AE142" s="2037"/>
      <c r="AF142" s="2555"/>
      <c r="AG142" s="2551"/>
      <c r="AH142" s="2551"/>
      <c r="AI142" s="2555"/>
      <c r="AJ142" s="2551"/>
      <c r="AK142" s="2551"/>
      <c r="AL142" s="1989"/>
      <c r="AM142" s="1826"/>
      <c r="AN142" s="1826"/>
      <c r="AO142" s="1826"/>
      <c r="AP142" s="1826"/>
      <c r="AQ142" s="1826"/>
      <c r="AR142" s="1826"/>
      <c r="AS142" s="1826"/>
      <c r="AT142" s="1826"/>
      <c r="AU142" s="1826"/>
      <c r="AV142" s="1826"/>
      <c r="AW142" s="1826"/>
      <c r="AX142" s="1826"/>
      <c r="AY142" s="1826"/>
      <c r="AZ142" s="1826"/>
      <c r="BA142" s="1826"/>
      <c r="BB142" s="1826"/>
      <c r="BC142" s="1826"/>
      <c r="BD142" s="1826"/>
      <c r="BE142" s="1826"/>
      <c r="BF142" s="1826"/>
      <c r="BG142" s="1639"/>
    </row>
    <row customHeight="1" ht="0.75">
      <c r="A143" s="1170" t="s">
        <v>1209</v>
      </c>
      <c r="B143" s="1170"/>
      <c r="C143" s="1170"/>
      <c r="D143" s="1164"/>
      <c r="E143" s="1174"/>
      <c r="F143" s="2553"/>
      <c r="G143" s="2532"/>
      <c r="H143" s="2557"/>
      <c r="I143" s="2558"/>
      <c r="J143" s="2559"/>
      <c r="K143" s="2559"/>
      <c r="L143" s="2551"/>
      <c r="M143" s="2285"/>
      <c r="N143" s="2560"/>
      <c r="O143" s="2561"/>
      <c r="P143" s="2605"/>
      <c r="Q143" s="2556"/>
      <c r="R143" s="2556"/>
      <c r="S143" s="2556"/>
      <c r="T143" s="2556"/>
      <c r="U143" s="2556"/>
      <c r="V143" s="2556"/>
      <c r="W143" s="2556"/>
      <c r="X143" s="2556"/>
      <c r="Y143" s="2556"/>
      <c r="Z143" s="2038"/>
      <c r="AA143" s="2039"/>
      <c r="AB143" s="2039"/>
      <c r="AC143" s="2040"/>
      <c r="AD143" s="2040"/>
      <c r="AE143" s="2041"/>
      <c r="AF143" s="2555"/>
      <c r="AG143" s="2551"/>
      <c r="AH143" s="2551"/>
      <c r="AI143" s="2555"/>
      <c r="AJ143" s="2551"/>
      <c r="AK143" s="2551"/>
      <c r="AL143" s="1989"/>
      <c r="AM143" s="1826"/>
      <c r="AN143" s="1826"/>
      <c r="AO143" s="1826"/>
      <c r="AP143" s="1826"/>
      <c r="AQ143" s="1826"/>
      <c r="AR143" s="1826"/>
      <c r="AS143" s="1826"/>
      <c r="AT143" s="1826"/>
      <c r="AU143" s="1826"/>
      <c r="AV143" s="1826"/>
      <c r="AW143" s="1826"/>
      <c r="AX143" s="1826"/>
      <c r="AY143" s="1826"/>
      <c r="AZ143" s="1826"/>
      <c r="BA143" s="1826"/>
      <c r="BB143" s="1826"/>
      <c r="BC143" s="1826"/>
      <c r="BD143" s="1826"/>
      <c r="BE143" s="1826"/>
      <c r="BF143" s="1826"/>
      <c r="BG143" s="1639"/>
    </row>
    <row customHeight="1" ht="0.75">
      <c r="A144" s="1170" t="s">
        <v>1209</v>
      </c>
      <c r="B144" s="1170"/>
      <c r="C144" s="1170"/>
      <c r="D144" s="1164"/>
      <c r="E144" s="1174"/>
      <c r="F144" s="2553"/>
      <c r="G144" s="2532"/>
      <c r="H144" s="2557"/>
      <c r="I144" s="2558"/>
      <c r="J144" s="2559"/>
      <c r="K144" s="2559"/>
      <c r="L144" s="2551"/>
      <c r="M144" s="2285"/>
      <c r="N144" s="2560"/>
      <c r="O144" s="2561"/>
      <c r="P144" s="2606"/>
      <c r="Q144" s="2556"/>
      <c r="R144" s="2556"/>
      <c r="S144" s="2556"/>
      <c r="T144" s="2556"/>
      <c r="U144" s="2556"/>
      <c r="V144" s="2556"/>
      <c r="W144" s="2556"/>
      <c r="X144" s="2556"/>
      <c r="Y144" s="2556"/>
      <c r="Z144" s="2042"/>
      <c r="AA144" s="2043"/>
      <c r="AB144" s="2044"/>
      <c r="AC144" s="2045"/>
      <c r="AD144" s="2044"/>
      <c r="AE144" s="2045"/>
      <c r="AF144" s="2555"/>
      <c r="AG144" s="2551"/>
      <c r="AH144" s="2551"/>
      <c r="AI144" s="2555"/>
      <c r="AJ144" s="2551"/>
      <c r="AK144" s="2551"/>
      <c r="AL144" s="1989"/>
      <c r="AM144" s="1826"/>
      <c r="AN144" s="1826"/>
      <c r="AO144" s="1826"/>
      <c r="AP144" s="1826"/>
      <c r="AQ144" s="1826"/>
      <c r="AR144" s="1826"/>
      <c r="AS144" s="1826"/>
      <c r="AT144" s="1826"/>
      <c r="AU144" s="1826"/>
      <c r="AV144" s="1826"/>
      <c r="AW144" s="1826"/>
      <c r="AX144" s="1826"/>
      <c r="AY144" s="1826"/>
      <c r="AZ144" s="1826"/>
      <c r="BA144" s="1826"/>
      <c r="BB144" s="1826"/>
      <c r="BC144" s="1826"/>
      <c r="BD144" s="1826"/>
      <c r="BE144" s="1826"/>
      <c r="BF144" s="1826"/>
      <c r="BG144" s="1639"/>
    </row>
    <row customHeight="1" ht="0.75">
      <c r="A145" s="1170" t="s">
        <v>1209</v>
      </c>
      <c r="B145" s="1170"/>
      <c r="C145" s="1170"/>
      <c r="D145" s="1164"/>
      <c r="E145" s="1174"/>
      <c r="F145" s="2553"/>
      <c r="G145" s="2532"/>
      <c r="H145" s="2557"/>
      <c r="I145" s="2558"/>
      <c r="J145" s="2559"/>
      <c r="K145" s="2559"/>
      <c r="L145" s="2551"/>
      <c r="M145" s="2285"/>
      <c r="N145" s="2560"/>
      <c r="O145" s="2561"/>
      <c r="P145" s="2607"/>
      <c r="Q145" s="2556"/>
      <c r="R145" s="2556"/>
      <c r="S145" s="2556"/>
      <c r="T145" s="2556"/>
      <c r="U145" s="2556"/>
      <c r="V145" s="2556"/>
      <c r="W145" s="2556"/>
      <c r="X145" s="2556"/>
      <c r="Y145" s="2556"/>
      <c r="Z145" s="2038"/>
      <c r="AA145" s="2039"/>
      <c r="AB145" s="2046"/>
      <c r="AC145" s="2040"/>
      <c r="AD145" s="2040"/>
      <c r="AE145" s="2047"/>
      <c r="AF145" s="2555"/>
      <c r="AG145" s="2551"/>
      <c r="AH145" s="2551"/>
      <c r="AI145" s="2555"/>
      <c r="AJ145" s="2551"/>
      <c r="AK145" s="2551"/>
      <c r="AL145" s="1989"/>
      <c r="AM145" s="1826"/>
      <c r="AN145" s="1826"/>
      <c r="AO145" s="1826"/>
      <c r="AP145" s="1826"/>
      <c r="AQ145" s="1826"/>
      <c r="AR145" s="1826"/>
      <c r="AS145" s="1826"/>
      <c r="AT145" s="1826"/>
      <c r="AU145" s="1826"/>
      <c r="AV145" s="1826"/>
      <c r="AW145" s="1826"/>
      <c r="AX145" s="1826"/>
      <c r="AY145" s="1826"/>
      <c r="AZ145" s="1826"/>
      <c r="BA145" s="1826"/>
      <c r="BB145" s="1826"/>
      <c r="BC145" s="1826"/>
      <c r="BD145" s="1826"/>
      <c r="BE145" s="1826"/>
      <c r="BF145" s="1826"/>
      <c r="BG145" s="1639"/>
    </row>
    <row customHeight="1" ht="0.75">
      <c r="A146" s="1170" t="s">
        <v>1209</v>
      </c>
      <c r="B146" s="1170"/>
      <c r="C146" s="1170"/>
      <c r="D146" s="1164"/>
      <c r="E146" s="1174"/>
      <c r="F146" s="2553"/>
      <c r="G146" s="2532"/>
      <c r="H146" s="2557"/>
      <c r="I146" s="2558"/>
      <c r="J146" s="2559"/>
      <c r="K146" s="2559"/>
      <c r="L146" s="2551"/>
      <c r="M146" s="2285"/>
      <c r="N146" s="2039"/>
      <c r="O146" s="2039"/>
      <c r="P146" s="2046"/>
      <c r="Q146" s="2039"/>
      <c r="R146" s="2039"/>
      <c r="S146" s="2039"/>
      <c r="T146" s="2039"/>
      <c r="U146" s="2039"/>
      <c r="V146" s="2039"/>
      <c r="W146" s="2039"/>
      <c r="X146" s="2039"/>
      <c r="Y146" s="2039"/>
      <c r="Z146" s="2039"/>
      <c r="AA146" s="2039"/>
      <c r="AB146" s="2039"/>
      <c r="AC146" s="2039"/>
      <c r="AD146" s="2039"/>
      <c r="AE146" s="2048"/>
      <c r="AF146" s="2555"/>
      <c r="AG146" s="2551"/>
      <c r="AH146" s="2551"/>
      <c r="AI146" s="2555"/>
      <c r="AJ146" s="2551"/>
      <c r="AK146" s="2551"/>
      <c r="AL146" s="1989"/>
      <c r="AM146" s="1826"/>
      <c r="AN146" s="1826"/>
      <c r="AO146" s="1826"/>
      <c r="AP146" s="1826"/>
      <c r="AQ146" s="1826"/>
      <c r="AR146" s="1826"/>
      <c r="AS146" s="1826"/>
      <c r="AT146" s="1826"/>
      <c r="AU146" s="1826"/>
      <c r="AV146" s="1826"/>
      <c r="AW146" s="1826"/>
      <c r="AX146" s="1826"/>
      <c r="AY146" s="1826"/>
      <c r="AZ146" s="1826"/>
      <c r="BA146" s="1826"/>
      <c r="BB146" s="1826"/>
      <c r="BC146" s="1826"/>
      <c r="BD146" s="1826"/>
      <c r="BE146" s="1826"/>
      <c r="BF146" s="1826"/>
      <c r="BG146" s="1639"/>
    </row>
    <row customHeight="1" ht="12">
      <c r="A147" s="1170" t="s">
        <v>1209</v>
      </c>
      <c r="B147" s="1170"/>
      <c r="C147" s="1170"/>
      <c r="D147" s="1164"/>
      <c r="E147" s="1174"/>
      <c r="F147" s="2554"/>
      <c r="G147" s="1194"/>
      <c r="H147" s="1194"/>
      <c r="I147" s="2552" t="s">
        <v>1300</v>
      </c>
      <c r="J147" s="2552"/>
      <c r="K147" s="2552"/>
      <c r="L147" s="1177"/>
      <c r="M147" s="1177"/>
      <c r="N147" s="1178"/>
      <c r="O147" s="1178"/>
      <c r="P147" s="1178"/>
      <c r="Q147" s="1178"/>
      <c r="R147" s="1178"/>
      <c r="S147" s="1178"/>
      <c r="T147" s="1178"/>
      <c r="U147" s="1178"/>
      <c r="V147" s="1178"/>
      <c r="W147" s="1178"/>
      <c r="X147" s="1178"/>
      <c r="Y147" s="1178"/>
      <c r="Z147" s="1178"/>
      <c r="AA147" s="1178"/>
      <c r="AB147" s="1178"/>
      <c r="AC147" s="1178"/>
      <c r="AD147" s="1178"/>
      <c r="AE147" s="1178"/>
      <c r="AF147" s="1178"/>
      <c r="AG147" s="1177"/>
      <c r="AH147" s="1177"/>
      <c r="AI147" s="1178"/>
      <c r="AJ147" s="1177"/>
      <c r="AK147" s="1178"/>
      <c r="AL147" s="1989"/>
      <c r="AM147" s="1826"/>
      <c r="AN147" s="1826"/>
      <c r="AO147" s="1826"/>
      <c r="AP147" s="1826"/>
      <c r="AQ147" s="1826"/>
      <c r="AR147" s="1826"/>
      <c r="AS147" s="1826"/>
      <c r="AT147" s="1826"/>
      <c r="AU147" s="1826"/>
      <c r="AV147" s="1826"/>
      <c r="AW147" s="1826"/>
      <c r="AX147" s="1826"/>
      <c r="AY147" s="1826"/>
      <c r="AZ147" s="1826"/>
      <c r="BA147" s="1826"/>
      <c r="BB147" s="1826"/>
      <c r="BC147" s="1826"/>
      <c r="BD147" s="1826"/>
      <c r="BE147" s="1826"/>
      <c r="BF147" s="1826"/>
      <c r="BG147" s="1639"/>
    </row>
    <row customHeight="1" ht="21">
      <c r="A148" s="1171" t="s">
        <v>1219</v>
      </c>
      <c r="B148" s="1170"/>
      <c r="C148" s="1170"/>
      <c r="D148" s="1164"/>
      <c r="E148" s="1174" t="s">
        <v>22</v>
      </c>
      <c r="F148" s="1126" t="str">
        <f>INDEX(IP_MAIN_LIST_NAME_IP,MATCH(A148,IP_MAIN_LIST_IP_ID,0))&amp;" ("&amp;INDEX(IP_MAIN_START_DATE,MATCH(A148,IP_MAIN_LIST_IP_ID,0))&amp;"-"&amp;INDEX(IP_MAIN_END_DATE,MATCH(A148,IP_MAIN_LIST_IP_ID,0))&amp;")"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 (01.01.2021-31.12.2031)</v>
      </c>
      <c r="G148" s="1127"/>
      <c r="H148" s="1127"/>
      <c r="I148" s="1189"/>
      <c r="J148" s="1189"/>
      <c r="K148" s="1190"/>
      <c r="L148" s="1190"/>
      <c r="M148" s="1190"/>
      <c r="N148" s="1191"/>
      <c r="O148" s="1191"/>
      <c r="P148" s="1191"/>
      <c r="Q148" s="1191"/>
      <c r="R148" s="1191"/>
      <c r="S148" s="1191"/>
      <c r="T148" s="1191"/>
      <c r="U148" s="1191"/>
      <c r="V148" s="1191"/>
      <c r="W148" s="1191"/>
      <c r="X148" s="1191"/>
      <c r="Y148" s="1191"/>
      <c r="Z148" s="1191"/>
      <c r="AA148" s="1191"/>
      <c r="AB148" s="1191"/>
      <c r="AC148" s="1191"/>
      <c r="AD148" s="1191"/>
      <c r="AE148" s="1192"/>
      <c r="AF148" s="1190"/>
      <c r="AG148" s="1190"/>
      <c r="AH148" s="1190"/>
      <c r="AI148" s="1190"/>
      <c r="AJ148" s="1190"/>
      <c r="AK148" s="1190"/>
      <c r="AL148" s="1989"/>
      <c r="AM148" s="1826"/>
      <c r="AN148" s="1826"/>
      <c r="AO148" s="1826"/>
      <c r="AP148" s="1826"/>
      <c r="AQ148" s="1826"/>
      <c r="AR148" s="1826"/>
      <c r="AS148" s="1826"/>
      <c r="AT148" s="1826"/>
      <c r="AU148" s="1826"/>
      <c r="AV148" s="1826"/>
      <c r="AW148" s="1826"/>
      <c r="AX148" s="1826"/>
      <c r="AY148" s="1826"/>
      <c r="AZ148" s="1826"/>
      <c r="BA148" s="1826"/>
      <c r="BB148" s="1826"/>
      <c r="BC148" s="1826"/>
      <c r="BD148" s="1826"/>
      <c r="BE148" s="1826"/>
      <c r="BF148" s="1826"/>
      <c r="BG148" s="1639"/>
    </row>
    <row customHeight="1" ht="0.75">
      <c r="A149" s="1170" t="s">
        <v>1219</v>
      </c>
      <c r="B149" s="1170"/>
      <c r="C149" s="1170"/>
      <c r="D149" s="1164"/>
      <c r="E149" s="1174"/>
      <c r="F149" s="2553">
        <v>2021</v>
      </c>
      <c r="G149" s="2532"/>
      <c r="H149" s="2557" t="s">
        <v>514</v>
      </c>
      <c r="I149" s="2558"/>
      <c r="J149" s="2559"/>
      <c r="K149" s="2559"/>
      <c r="L149" s="2551"/>
      <c r="M149" s="2285"/>
      <c r="N149" s="2037"/>
      <c r="O149" s="2036"/>
      <c r="P149" s="2037"/>
      <c r="Q149" s="2037"/>
      <c r="R149" s="2037"/>
      <c r="S149" s="2037"/>
      <c r="T149" s="2037"/>
      <c r="U149" s="2037"/>
      <c r="V149" s="2037"/>
      <c r="W149" s="2037"/>
      <c r="X149" s="2037"/>
      <c r="Y149" s="2037"/>
      <c r="Z149" s="2037"/>
      <c r="AA149" s="2037"/>
      <c r="AB149" s="2037"/>
      <c r="AC149" s="2037"/>
      <c r="AD149" s="2037"/>
      <c r="AE149" s="2037"/>
      <c r="AF149" s="2555"/>
      <c r="AG149" s="2551"/>
      <c r="AH149" s="2551"/>
      <c r="AI149" s="2555"/>
      <c r="AJ149" s="2551"/>
      <c r="AK149" s="2551"/>
      <c r="AL149" s="1989"/>
      <c r="AM149" s="1826"/>
      <c r="AN149" s="1826"/>
      <c r="AO149" s="1826"/>
      <c r="AP149" s="1826"/>
      <c r="AQ149" s="1826"/>
      <c r="AR149" s="1826"/>
      <c r="AS149" s="1826"/>
      <c r="AT149" s="1826"/>
      <c r="AU149" s="1826"/>
      <c r="AV149" s="1826"/>
      <c r="AW149" s="1826"/>
      <c r="AX149" s="1826"/>
      <c r="AY149" s="1826"/>
      <c r="AZ149" s="1826"/>
      <c r="BA149" s="1826"/>
      <c r="BB149" s="1826"/>
      <c r="BC149" s="1826"/>
      <c r="BD149" s="1826"/>
      <c r="BE149" s="1826"/>
      <c r="BF149" s="1826"/>
      <c r="BG149" s="1639"/>
    </row>
    <row customHeight="1" ht="0.75">
      <c r="A150" s="1170" t="s">
        <v>1219</v>
      </c>
      <c r="B150" s="1170"/>
      <c r="C150" s="1170"/>
      <c r="D150" s="1164"/>
      <c r="E150" s="1174"/>
      <c r="F150" s="2553"/>
      <c r="G150" s="2532"/>
      <c r="H150" s="2557"/>
      <c r="I150" s="2558"/>
      <c r="J150" s="2559"/>
      <c r="K150" s="2559"/>
      <c r="L150" s="2551"/>
      <c r="M150" s="2285"/>
      <c r="N150" s="2560"/>
      <c r="O150" s="2561"/>
      <c r="P150" s="2605"/>
      <c r="Q150" s="2556"/>
      <c r="R150" s="2556"/>
      <c r="S150" s="2556"/>
      <c r="T150" s="2556"/>
      <c r="U150" s="2556"/>
      <c r="V150" s="2556"/>
      <c r="W150" s="2556"/>
      <c r="X150" s="2556"/>
      <c r="Y150" s="2556"/>
      <c r="Z150" s="2038"/>
      <c r="AA150" s="2039"/>
      <c r="AB150" s="2039"/>
      <c r="AC150" s="2040"/>
      <c r="AD150" s="2040"/>
      <c r="AE150" s="2041"/>
      <c r="AF150" s="2555"/>
      <c r="AG150" s="2551"/>
      <c r="AH150" s="2551"/>
      <c r="AI150" s="2555"/>
      <c r="AJ150" s="2551"/>
      <c r="AK150" s="2551"/>
      <c r="AL150" s="1989"/>
      <c r="AM150" s="1826"/>
      <c r="AN150" s="1826"/>
      <c r="AO150" s="1826"/>
      <c r="AP150" s="1826"/>
      <c r="AQ150" s="1826"/>
      <c r="AR150" s="1826"/>
      <c r="AS150" s="1826"/>
      <c r="AT150" s="1826"/>
      <c r="AU150" s="1826"/>
      <c r="AV150" s="1826"/>
      <c r="AW150" s="1826"/>
      <c r="AX150" s="1826"/>
      <c r="AY150" s="1826"/>
      <c r="AZ150" s="1826"/>
      <c r="BA150" s="1826"/>
      <c r="BB150" s="1826"/>
      <c r="BC150" s="1826"/>
      <c r="BD150" s="1826"/>
      <c r="BE150" s="1826"/>
      <c r="BF150" s="1826"/>
      <c r="BG150" s="1639"/>
    </row>
    <row customHeight="1" ht="0.75">
      <c r="A151" s="1170" t="s">
        <v>1219</v>
      </c>
      <c r="B151" s="1170"/>
      <c r="C151" s="1170"/>
      <c r="D151" s="1164"/>
      <c r="E151" s="1174"/>
      <c r="F151" s="2553"/>
      <c r="G151" s="2532"/>
      <c r="H151" s="2557"/>
      <c r="I151" s="2558"/>
      <c r="J151" s="2559"/>
      <c r="K151" s="2559"/>
      <c r="L151" s="2551"/>
      <c r="M151" s="2285"/>
      <c r="N151" s="2560"/>
      <c r="O151" s="2561"/>
      <c r="P151" s="2606"/>
      <c r="Q151" s="2556"/>
      <c r="R151" s="2556"/>
      <c r="S151" s="2556"/>
      <c r="T151" s="2556"/>
      <c r="U151" s="2556"/>
      <c r="V151" s="2556"/>
      <c r="W151" s="2556"/>
      <c r="X151" s="2556"/>
      <c r="Y151" s="2556"/>
      <c r="Z151" s="2042"/>
      <c r="AA151" s="2043"/>
      <c r="AB151" s="2044"/>
      <c r="AC151" s="2045"/>
      <c r="AD151" s="2044"/>
      <c r="AE151" s="2045"/>
      <c r="AF151" s="2555"/>
      <c r="AG151" s="2551"/>
      <c r="AH151" s="2551"/>
      <c r="AI151" s="2555"/>
      <c r="AJ151" s="2551"/>
      <c r="AK151" s="2551"/>
      <c r="AL151" s="1989"/>
      <c r="AM151" s="1826"/>
      <c r="AN151" s="1826"/>
      <c r="AO151" s="1826"/>
      <c r="AP151" s="1826"/>
      <c r="AQ151" s="1826"/>
      <c r="AR151" s="1826"/>
      <c r="AS151" s="1826"/>
      <c r="AT151" s="1826"/>
      <c r="AU151" s="1826"/>
      <c r="AV151" s="1826"/>
      <c r="AW151" s="1826"/>
      <c r="AX151" s="1826"/>
      <c r="AY151" s="1826"/>
      <c r="AZ151" s="1826"/>
      <c r="BA151" s="1826"/>
      <c r="BB151" s="1826"/>
      <c r="BC151" s="1826"/>
      <c r="BD151" s="1826"/>
      <c r="BE151" s="1826"/>
      <c r="BF151" s="1826"/>
      <c r="BG151" s="1639"/>
    </row>
    <row customHeight="1" ht="0.75">
      <c r="A152" s="1170" t="s">
        <v>1219</v>
      </c>
      <c r="B152" s="1170"/>
      <c r="C152" s="1170"/>
      <c r="D152" s="1164"/>
      <c r="E152" s="1174"/>
      <c r="F152" s="2553"/>
      <c r="G152" s="2532"/>
      <c r="H152" s="2557"/>
      <c r="I152" s="2558"/>
      <c r="J152" s="2559"/>
      <c r="K152" s="2559"/>
      <c r="L152" s="2551"/>
      <c r="M152" s="2285"/>
      <c r="N152" s="2560"/>
      <c r="O152" s="2561"/>
      <c r="P152" s="2607"/>
      <c r="Q152" s="2556"/>
      <c r="R152" s="2556"/>
      <c r="S152" s="2556"/>
      <c r="T152" s="2556"/>
      <c r="U152" s="2556"/>
      <c r="V152" s="2556"/>
      <c r="W152" s="2556"/>
      <c r="X152" s="2556"/>
      <c r="Y152" s="2556"/>
      <c r="Z152" s="2038"/>
      <c r="AA152" s="2039"/>
      <c r="AB152" s="2046"/>
      <c r="AC152" s="2040"/>
      <c r="AD152" s="2040"/>
      <c r="AE152" s="2047"/>
      <c r="AF152" s="2555"/>
      <c r="AG152" s="2551"/>
      <c r="AH152" s="2551"/>
      <c r="AI152" s="2555"/>
      <c r="AJ152" s="2551"/>
      <c r="AK152" s="2551"/>
      <c r="AL152" s="1989"/>
      <c r="AM152" s="1826"/>
      <c r="AN152" s="1826"/>
      <c r="AO152" s="1826"/>
      <c r="AP152" s="1826"/>
      <c r="AQ152" s="1826"/>
      <c r="AR152" s="1826"/>
      <c r="AS152" s="1826"/>
      <c r="AT152" s="1826"/>
      <c r="AU152" s="1826"/>
      <c r="AV152" s="1826"/>
      <c r="AW152" s="1826"/>
      <c r="AX152" s="1826"/>
      <c r="AY152" s="1826"/>
      <c r="AZ152" s="1826"/>
      <c r="BA152" s="1826"/>
      <c r="BB152" s="1826"/>
      <c r="BC152" s="1826"/>
      <c r="BD152" s="1826"/>
      <c r="BE152" s="1826"/>
      <c r="BF152" s="1826"/>
      <c r="BG152" s="1639"/>
    </row>
    <row customHeight="1" ht="0.75">
      <c r="A153" s="1170" t="s">
        <v>1219</v>
      </c>
      <c r="B153" s="1170"/>
      <c r="C153" s="1170"/>
      <c r="D153" s="1164"/>
      <c r="E153" s="1174"/>
      <c r="F153" s="2553"/>
      <c r="G153" s="2532"/>
      <c r="H153" s="2557"/>
      <c r="I153" s="2558"/>
      <c r="J153" s="2559"/>
      <c r="K153" s="2559"/>
      <c r="L153" s="2551"/>
      <c r="M153" s="2285"/>
      <c r="N153" s="2039"/>
      <c r="O153" s="2039"/>
      <c r="P153" s="2046"/>
      <c r="Q153" s="2039"/>
      <c r="R153" s="2039"/>
      <c r="S153" s="2039"/>
      <c r="T153" s="2039"/>
      <c r="U153" s="2039"/>
      <c r="V153" s="2039"/>
      <c r="W153" s="2039"/>
      <c r="X153" s="2039"/>
      <c r="Y153" s="2039"/>
      <c r="Z153" s="2039"/>
      <c r="AA153" s="2039"/>
      <c r="AB153" s="2039"/>
      <c r="AC153" s="2039"/>
      <c r="AD153" s="2039"/>
      <c r="AE153" s="2048"/>
      <c r="AF153" s="2555"/>
      <c r="AG153" s="2551"/>
      <c r="AH153" s="2551"/>
      <c r="AI153" s="2555"/>
      <c r="AJ153" s="2551"/>
      <c r="AK153" s="2551"/>
      <c r="AL153" s="1989"/>
      <c r="AM153" s="1826"/>
      <c r="AN153" s="1826"/>
      <c r="AO153" s="1826"/>
      <c r="AP153" s="1826"/>
      <c r="AQ153" s="1826"/>
      <c r="AR153" s="1826"/>
      <c r="AS153" s="1826"/>
      <c r="AT153" s="1826"/>
      <c r="AU153" s="1826"/>
      <c r="AV153" s="1826"/>
      <c r="AW153" s="1826"/>
      <c r="AX153" s="1826"/>
      <c r="AY153" s="1826"/>
      <c r="AZ153" s="1826"/>
      <c r="BA153" s="1826"/>
      <c r="BB153" s="1826"/>
      <c r="BC153" s="1826"/>
      <c r="BD153" s="1826"/>
      <c r="BE153" s="1826"/>
      <c r="BF153" s="1826"/>
      <c r="BG153" s="1639"/>
    </row>
    <row customHeight="1" ht="12">
      <c r="A154" s="1170" t="s">
        <v>1219</v>
      </c>
      <c r="B154" s="1170"/>
      <c r="C154" s="1170"/>
      <c r="D154" s="1164"/>
      <c r="E154" s="1174"/>
      <c r="F154" s="2554"/>
      <c r="G154" s="1194"/>
      <c r="H154" s="1194"/>
      <c r="I154" s="2552" t="s">
        <v>1300</v>
      </c>
      <c r="J154" s="2552"/>
      <c r="K154" s="2552"/>
      <c r="L154" s="1177"/>
      <c r="M154" s="1177"/>
      <c r="N154" s="1178"/>
      <c r="O154" s="1178"/>
      <c r="P154" s="1178"/>
      <c r="Q154" s="1178"/>
      <c r="R154" s="1178"/>
      <c r="S154" s="1178"/>
      <c r="T154" s="1178"/>
      <c r="U154" s="1178"/>
      <c r="V154" s="1178"/>
      <c r="W154" s="1178"/>
      <c r="X154" s="1178"/>
      <c r="Y154" s="1178"/>
      <c r="Z154" s="1178"/>
      <c r="AA154" s="1178"/>
      <c r="AB154" s="1178"/>
      <c r="AC154" s="1178"/>
      <c r="AD154" s="1178"/>
      <c r="AE154" s="1178"/>
      <c r="AF154" s="1178"/>
      <c r="AG154" s="1177"/>
      <c r="AH154" s="1177"/>
      <c r="AI154" s="1178"/>
      <c r="AJ154" s="1177"/>
      <c r="AK154" s="1178"/>
      <c r="AL154" s="1989"/>
      <c r="AM154" s="1826"/>
      <c r="AN154" s="1826"/>
      <c r="AO154" s="1826"/>
      <c r="AP154" s="1826"/>
      <c r="AQ154" s="1826"/>
      <c r="AR154" s="1826"/>
      <c r="AS154" s="1826"/>
      <c r="AT154" s="1826"/>
      <c r="AU154" s="1826"/>
      <c r="AV154" s="1826"/>
      <c r="AW154" s="1826"/>
      <c r="AX154" s="1826"/>
      <c r="AY154" s="1826"/>
      <c r="AZ154" s="1826"/>
      <c r="BA154" s="1826"/>
      <c r="BB154" s="1826"/>
      <c r="BC154" s="1826"/>
      <c r="BD154" s="1826"/>
      <c r="BE154" s="1826"/>
      <c r="BF154" s="1826"/>
      <c r="BG154" s="1639"/>
    </row>
    <row customHeight="1" ht="0.75">
      <c r="A155" s="1170" t="s">
        <v>1219</v>
      </c>
      <c r="B155" s="1170"/>
      <c r="C155" s="1170"/>
      <c r="D155" s="1164"/>
      <c r="E155" s="1174"/>
      <c r="F155" s="2553">
        <v>2022</v>
      </c>
      <c r="G155" s="2532"/>
      <c r="H155" s="2557" t="s">
        <v>514</v>
      </c>
      <c r="I155" s="2558"/>
      <c r="J155" s="2559"/>
      <c r="K155" s="2559"/>
      <c r="L155" s="2551"/>
      <c r="M155" s="2285"/>
      <c r="N155" s="2037"/>
      <c r="O155" s="2036"/>
      <c r="P155" s="2037"/>
      <c r="Q155" s="2037"/>
      <c r="R155" s="2037"/>
      <c r="S155" s="2037"/>
      <c r="T155" s="2037"/>
      <c r="U155" s="2037"/>
      <c r="V155" s="2037"/>
      <c r="W155" s="2037"/>
      <c r="X155" s="2037"/>
      <c r="Y155" s="2037"/>
      <c r="Z155" s="2037"/>
      <c r="AA155" s="2037"/>
      <c r="AB155" s="2037"/>
      <c r="AC155" s="2037"/>
      <c r="AD155" s="2037"/>
      <c r="AE155" s="2037"/>
      <c r="AF155" s="2555"/>
      <c r="AG155" s="2551"/>
      <c r="AH155" s="2551"/>
      <c r="AI155" s="2555"/>
      <c r="AJ155" s="2551"/>
      <c r="AK155" s="2551"/>
      <c r="AL155" s="1989"/>
      <c r="AM155" s="1826"/>
      <c r="AN155" s="1826"/>
      <c r="AO155" s="1826"/>
      <c r="AP155" s="1826"/>
      <c r="AQ155" s="1826"/>
      <c r="AR155" s="1826"/>
      <c r="AS155" s="1826"/>
      <c r="AT155" s="1826"/>
      <c r="AU155" s="1826"/>
      <c r="AV155" s="1826"/>
      <c r="AW155" s="1826"/>
      <c r="AX155" s="1826"/>
      <c r="AY155" s="1826"/>
      <c r="AZ155" s="1826"/>
      <c r="BA155" s="1826"/>
      <c r="BB155" s="1826"/>
      <c r="BC155" s="1826"/>
      <c r="BD155" s="1826"/>
      <c r="BE155" s="1826"/>
      <c r="BF155" s="1826"/>
      <c r="BG155" s="1639"/>
    </row>
    <row customHeight="1" ht="0.75">
      <c r="A156" s="1170" t="s">
        <v>1219</v>
      </c>
      <c r="B156" s="1170"/>
      <c r="C156" s="1170"/>
      <c r="D156" s="1164"/>
      <c r="E156" s="1174"/>
      <c r="F156" s="2553"/>
      <c r="G156" s="2532"/>
      <c r="H156" s="2557"/>
      <c r="I156" s="2558"/>
      <c r="J156" s="2559"/>
      <c r="K156" s="2559"/>
      <c r="L156" s="2551"/>
      <c r="M156" s="2285"/>
      <c r="N156" s="2560"/>
      <c r="O156" s="2561"/>
      <c r="P156" s="2605"/>
      <c r="Q156" s="2556"/>
      <c r="R156" s="2556"/>
      <c r="S156" s="2556"/>
      <c r="T156" s="2556"/>
      <c r="U156" s="2556"/>
      <c r="V156" s="2556"/>
      <c r="W156" s="2556"/>
      <c r="X156" s="2556"/>
      <c r="Y156" s="2556"/>
      <c r="Z156" s="2038"/>
      <c r="AA156" s="2039"/>
      <c r="AB156" s="2039"/>
      <c r="AC156" s="2040"/>
      <c r="AD156" s="2040"/>
      <c r="AE156" s="2041"/>
      <c r="AF156" s="2555"/>
      <c r="AG156" s="2551"/>
      <c r="AH156" s="2551"/>
      <c r="AI156" s="2555"/>
      <c r="AJ156" s="2551"/>
      <c r="AK156" s="2551"/>
      <c r="AL156" s="1989"/>
      <c r="AM156" s="1826"/>
      <c r="AN156" s="1826"/>
      <c r="AO156" s="1826"/>
      <c r="AP156" s="1826"/>
      <c r="AQ156" s="1826"/>
      <c r="AR156" s="1826"/>
      <c r="AS156" s="1826"/>
      <c r="AT156" s="1826"/>
      <c r="AU156" s="1826"/>
      <c r="AV156" s="1826"/>
      <c r="AW156" s="1826"/>
      <c r="AX156" s="1826"/>
      <c r="AY156" s="1826"/>
      <c r="AZ156" s="1826"/>
      <c r="BA156" s="1826"/>
      <c r="BB156" s="1826"/>
      <c r="BC156" s="1826"/>
      <c r="BD156" s="1826"/>
      <c r="BE156" s="1826"/>
      <c r="BF156" s="1826"/>
      <c r="BG156" s="1639"/>
    </row>
    <row customHeight="1" ht="0.75">
      <c r="A157" s="1170" t="s">
        <v>1219</v>
      </c>
      <c r="B157" s="1170"/>
      <c r="C157" s="1170"/>
      <c r="D157" s="1164"/>
      <c r="E157" s="1174"/>
      <c r="F157" s="2553"/>
      <c r="G157" s="2532"/>
      <c r="H157" s="2557"/>
      <c r="I157" s="2558"/>
      <c r="J157" s="2559"/>
      <c r="K157" s="2559"/>
      <c r="L157" s="2551"/>
      <c r="M157" s="2285"/>
      <c r="N157" s="2560"/>
      <c r="O157" s="2561"/>
      <c r="P157" s="2606"/>
      <c r="Q157" s="2556"/>
      <c r="R157" s="2556"/>
      <c r="S157" s="2556"/>
      <c r="T157" s="2556"/>
      <c r="U157" s="2556"/>
      <c r="V157" s="2556"/>
      <c r="W157" s="2556"/>
      <c r="X157" s="2556"/>
      <c r="Y157" s="2556"/>
      <c r="Z157" s="2042"/>
      <c r="AA157" s="2043"/>
      <c r="AB157" s="2044"/>
      <c r="AC157" s="2045"/>
      <c r="AD157" s="2044"/>
      <c r="AE157" s="2045"/>
      <c r="AF157" s="2555"/>
      <c r="AG157" s="2551"/>
      <c r="AH157" s="2551"/>
      <c r="AI157" s="2555"/>
      <c r="AJ157" s="2551"/>
      <c r="AK157" s="2551"/>
      <c r="AL157" s="1989"/>
      <c r="AM157" s="1826"/>
      <c r="AN157" s="1826"/>
      <c r="AO157" s="1826"/>
      <c r="AP157" s="1826"/>
      <c r="AQ157" s="1826"/>
      <c r="AR157" s="1826"/>
      <c r="AS157" s="1826"/>
      <c r="AT157" s="1826"/>
      <c r="AU157" s="1826"/>
      <c r="AV157" s="1826"/>
      <c r="AW157" s="1826"/>
      <c r="AX157" s="1826"/>
      <c r="AY157" s="1826"/>
      <c r="AZ157" s="1826"/>
      <c r="BA157" s="1826"/>
      <c r="BB157" s="1826"/>
      <c r="BC157" s="1826"/>
      <c r="BD157" s="1826"/>
      <c r="BE157" s="1826"/>
      <c r="BF157" s="1826"/>
      <c r="BG157" s="1639"/>
    </row>
    <row customHeight="1" ht="0.75">
      <c r="A158" s="1170" t="s">
        <v>1219</v>
      </c>
      <c r="B158" s="1170"/>
      <c r="C158" s="1170"/>
      <c r="D158" s="1164"/>
      <c r="E158" s="1174"/>
      <c r="F158" s="2553"/>
      <c r="G158" s="2532"/>
      <c r="H158" s="2557"/>
      <c r="I158" s="2558"/>
      <c r="J158" s="2559"/>
      <c r="K158" s="2559"/>
      <c r="L158" s="2551"/>
      <c r="M158" s="2285"/>
      <c r="N158" s="2560"/>
      <c r="O158" s="2561"/>
      <c r="P158" s="2607"/>
      <c r="Q158" s="2556"/>
      <c r="R158" s="2556"/>
      <c r="S158" s="2556"/>
      <c r="T158" s="2556"/>
      <c r="U158" s="2556"/>
      <c r="V158" s="2556"/>
      <c r="W158" s="2556"/>
      <c r="X158" s="2556"/>
      <c r="Y158" s="2556"/>
      <c r="Z158" s="2038"/>
      <c r="AA158" s="2039"/>
      <c r="AB158" s="2046"/>
      <c r="AC158" s="2040"/>
      <c r="AD158" s="2040"/>
      <c r="AE158" s="2047"/>
      <c r="AF158" s="2555"/>
      <c r="AG158" s="2551"/>
      <c r="AH158" s="2551"/>
      <c r="AI158" s="2555"/>
      <c r="AJ158" s="2551"/>
      <c r="AK158" s="2551"/>
      <c r="AL158" s="1989"/>
      <c r="AM158" s="1826"/>
      <c r="AN158" s="1826"/>
      <c r="AO158" s="1826"/>
      <c r="AP158" s="1826"/>
      <c r="AQ158" s="1826"/>
      <c r="AR158" s="1826"/>
      <c r="AS158" s="1826"/>
      <c r="AT158" s="1826"/>
      <c r="AU158" s="1826"/>
      <c r="AV158" s="1826"/>
      <c r="AW158" s="1826"/>
      <c r="AX158" s="1826"/>
      <c r="AY158" s="1826"/>
      <c r="AZ158" s="1826"/>
      <c r="BA158" s="1826"/>
      <c r="BB158" s="1826"/>
      <c r="BC158" s="1826"/>
      <c r="BD158" s="1826"/>
      <c r="BE158" s="1826"/>
      <c r="BF158" s="1826"/>
      <c r="BG158" s="1639"/>
    </row>
    <row customHeight="1" ht="0.75">
      <c r="A159" s="1170" t="s">
        <v>1219</v>
      </c>
      <c r="B159" s="1170"/>
      <c r="C159" s="1170"/>
      <c r="D159" s="1164"/>
      <c r="E159" s="1174"/>
      <c r="F159" s="2553"/>
      <c r="G159" s="2532"/>
      <c r="H159" s="2557"/>
      <c r="I159" s="2558"/>
      <c r="J159" s="2559"/>
      <c r="K159" s="2559"/>
      <c r="L159" s="2551"/>
      <c r="M159" s="2285"/>
      <c r="N159" s="2039"/>
      <c r="O159" s="2039"/>
      <c r="P159" s="2046"/>
      <c r="Q159" s="2039"/>
      <c r="R159" s="2039"/>
      <c r="S159" s="2039"/>
      <c r="T159" s="2039"/>
      <c r="U159" s="2039"/>
      <c r="V159" s="2039"/>
      <c r="W159" s="2039"/>
      <c r="X159" s="2039"/>
      <c r="Y159" s="2039"/>
      <c r="Z159" s="2039"/>
      <c r="AA159" s="2039"/>
      <c r="AB159" s="2039"/>
      <c r="AC159" s="2039"/>
      <c r="AD159" s="2039"/>
      <c r="AE159" s="2048"/>
      <c r="AF159" s="2555"/>
      <c r="AG159" s="2551"/>
      <c r="AH159" s="2551"/>
      <c r="AI159" s="2555"/>
      <c r="AJ159" s="2551"/>
      <c r="AK159" s="2551"/>
      <c r="AL159" s="1989"/>
      <c r="AM159" s="1826"/>
      <c r="AN159" s="1826"/>
      <c r="AO159" s="1826"/>
      <c r="AP159" s="1826"/>
      <c r="AQ159" s="1826"/>
      <c r="AR159" s="1826"/>
      <c r="AS159" s="1826"/>
      <c r="AT159" s="1826"/>
      <c r="AU159" s="1826"/>
      <c r="AV159" s="1826"/>
      <c r="AW159" s="1826"/>
      <c r="AX159" s="1826"/>
      <c r="AY159" s="1826"/>
      <c r="AZ159" s="1826"/>
      <c r="BA159" s="1826"/>
      <c r="BB159" s="1826"/>
      <c r="BC159" s="1826"/>
      <c r="BD159" s="1826"/>
      <c r="BE159" s="1826"/>
      <c r="BF159" s="1826"/>
      <c r="BG159" s="1639"/>
    </row>
    <row customHeight="1" ht="12">
      <c r="A160" s="1170" t="s">
        <v>1219</v>
      </c>
      <c r="B160" s="1170"/>
      <c r="C160" s="1170"/>
      <c r="D160" s="1164"/>
      <c r="E160" s="1174"/>
      <c r="F160" s="2554"/>
      <c r="G160" s="1194"/>
      <c r="H160" s="1194"/>
      <c r="I160" s="2552" t="s">
        <v>1300</v>
      </c>
      <c r="J160" s="2552"/>
      <c r="K160" s="2552"/>
      <c r="L160" s="1177"/>
      <c r="M160" s="1177"/>
      <c r="N160" s="1178"/>
      <c r="O160" s="1178"/>
      <c r="P160" s="1178"/>
      <c r="Q160" s="1178"/>
      <c r="R160" s="1178"/>
      <c r="S160" s="1178"/>
      <c r="T160" s="1178"/>
      <c r="U160" s="1178"/>
      <c r="V160" s="1178"/>
      <c r="W160" s="1178"/>
      <c r="X160" s="1178"/>
      <c r="Y160" s="1178"/>
      <c r="Z160" s="1178"/>
      <c r="AA160" s="1178"/>
      <c r="AB160" s="1178"/>
      <c r="AC160" s="1178"/>
      <c r="AD160" s="1178"/>
      <c r="AE160" s="1178"/>
      <c r="AF160" s="1178"/>
      <c r="AG160" s="1177"/>
      <c r="AH160" s="1177"/>
      <c r="AI160" s="1178"/>
      <c r="AJ160" s="1177"/>
      <c r="AK160" s="1178"/>
      <c r="AL160" s="1989"/>
      <c r="AM160" s="1826"/>
      <c r="AN160" s="1826"/>
      <c r="AO160" s="1826"/>
      <c r="AP160" s="1826"/>
      <c r="AQ160" s="1826"/>
      <c r="AR160" s="1826"/>
      <c r="AS160" s="1826"/>
      <c r="AT160" s="1826"/>
      <c r="AU160" s="1826"/>
      <c r="AV160" s="1826"/>
      <c r="AW160" s="1826"/>
      <c r="AX160" s="1826"/>
      <c r="AY160" s="1826"/>
      <c r="AZ160" s="1826"/>
      <c r="BA160" s="1826"/>
      <c r="BB160" s="1826"/>
      <c r="BC160" s="1826"/>
      <c r="BD160" s="1826"/>
      <c r="BE160" s="1826"/>
      <c r="BF160" s="1826"/>
      <c r="BG160" s="1639"/>
    </row>
    <row customHeight="1" ht="0.75">
      <c r="A161" s="1170" t="s">
        <v>1219</v>
      </c>
      <c r="B161" s="1170"/>
      <c r="C161" s="1170"/>
      <c r="D161" s="1164"/>
      <c r="E161" s="1174"/>
      <c r="F161" s="2553">
        <v>2023</v>
      </c>
      <c r="G161" s="2532"/>
      <c r="H161" s="2557" t="s">
        <v>514</v>
      </c>
      <c r="I161" s="2558"/>
      <c r="J161" s="2559"/>
      <c r="K161" s="2559"/>
      <c r="L161" s="2551"/>
      <c r="M161" s="2285"/>
      <c r="N161" s="2037"/>
      <c r="O161" s="2036"/>
      <c r="P161" s="2037"/>
      <c r="Q161" s="2037"/>
      <c r="R161" s="2037"/>
      <c r="S161" s="2037"/>
      <c r="T161" s="2037"/>
      <c r="U161" s="2037"/>
      <c r="V161" s="2037"/>
      <c r="W161" s="2037"/>
      <c r="X161" s="2037"/>
      <c r="Y161" s="2037"/>
      <c r="Z161" s="2037"/>
      <c r="AA161" s="2037"/>
      <c r="AB161" s="2037"/>
      <c r="AC161" s="2037"/>
      <c r="AD161" s="2037"/>
      <c r="AE161" s="2037"/>
      <c r="AF161" s="2555"/>
      <c r="AG161" s="2551"/>
      <c r="AH161" s="2551"/>
      <c r="AI161" s="2555"/>
      <c r="AJ161" s="2551"/>
      <c r="AK161" s="2551"/>
      <c r="AL161" s="1989"/>
      <c r="AM161" s="1826"/>
      <c r="AN161" s="1826"/>
      <c r="AO161" s="1826"/>
      <c r="AP161" s="1826"/>
      <c r="AQ161" s="1826"/>
      <c r="AR161" s="1826"/>
      <c r="AS161" s="1826"/>
      <c r="AT161" s="1826"/>
      <c r="AU161" s="1826"/>
      <c r="AV161" s="1826"/>
      <c r="AW161" s="1826"/>
      <c r="AX161" s="1826"/>
      <c r="AY161" s="1826"/>
      <c r="AZ161" s="1826"/>
      <c r="BA161" s="1826"/>
      <c r="BB161" s="1826"/>
      <c r="BC161" s="1826"/>
      <c r="BD161" s="1826"/>
      <c r="BE161" s="1826"/>
      <c r="BF161" s="1826"/>
      <c r="BG161" s="1639"/>
    </row>
    <row customHeight="1" ht="0.75">
      <c r="A162" s="1170" t="s">
        <v>1219</v>
      </c>
      <c r="B162" s="1170"/>
      <c r="C162" s="1170"/>
      <c r="D162" s="1164"/>
      <c r="E162" s="1174"/>
      <c r="F162" s="2553"/>
      <c r="G162" s="2532"/>
      <c r="H162" s="2557"/>
      <c r="I162" s="2558"/>
      <c r="J162" s="2559"/>
      <c r="K162" s="2559"/>
      <c r="L162" s="2551"/>
      <c r="M162" s="2285"/>
      <c r="N162" s="2560"/>
      <c r="O162" s="2561"/>
      <c r="P162" s="2605"/>
      <c r="Q162" s="2556"/>
      <c r="R162" s="2556"/>
      <c r="S162" s="2556"/>
      <c r="T162" s="2556"/>
      <c r="U162" s="2556"/>
      <c r="V162" s="2556"/>
      <c r="W162" s="2556"/>
      <c r="X162" s="2556"/>
      <c r="Y162" s="2556"/>
      <c r="Z162" s="2038"/>
      <c r="AA162" s="2039"/>
      <c r="AB162" s="2039"/>
      <c r="AC162" s="2040"/>
      <c r="AD162" s="2040"/>
      <c r="AE162" s="2041"/>
      <c r="AF162" s="2555"/>
      <c r="AG162" s="2551"/>
      <c r="AH162" s="2551"/>
      <c r="AI162" s="2555"/>
      <c r="AJ162" s="2551"/>
      <c r="AK162" s="2551"/>
      <c r="AL162" s="1989"/>
      <c r="AM162" s="1826"/>
      <c r="AN162" s="1826"/>
      <c r="AO162" s="1826"/>
      <c r="AP162" s="1826"/>
      <c r="AQ162" s="1826"/>
      <c r="AR162" s="1826"/>
      <c r="AS162" s="1826"/>
      <c r="AT162" s="1826"/>
      <c r="AU162" s="1826"/>
      <c r="AV162" s="1826"/>
      <c r="AW162" s="1826"/>
      <c r="AX162" s="1826"/>
      <c r="AY162" s="1826"/>
      <c r="AZ162" s="1826"/>
      <c r="BA162" s="1826"/>
      <c r="BB162" s="1826"/>
      <c r="BC162" s="1826"/>
      <c r="BD162" s="1826"/>
      <c r="BE162" s="1826"/>
      <c r="BF162" s="1826"/>
      <c r="BG162" s="1639"/>
    </row>
    <row customHeight="1" ht="0.75">
      <c r="A163" s="1170" t="s">
        <v>1219</v>
      </c>
      <c r="B163" s="1170"/>
      <c r="C163" s="1170"/>
      <c r="D163" s="1164"/>
      <c r="E163" s="1174"/>
      <c r="F163" s="2553"/>
      <c r="G163" s="2532"/>
      <c r="H163" s="2557"/>
      <c r="I163" s="2558"/>
      <c r="J163" s="2559"/>
      <c r="K163" s="2559"/>
      <c r="L163" s="2551"/>
      <c r="M163" s="2285"/>
      <c r="N163" s="2560"/>
      <c r="O163" s="2561"/>
      <c r="P163" s="2606"/>
      <c r="Q163" s="2556"/>
      <c r="R163" s="2556"/>
      <c r="S163" s="2556"/>
      <c r="T163" s="2556"/>
      <c r="U163" s="2556"/>
      <c r="V163" s="2556"/>
      <c r="W163" s="2556"/>
      <c r="X163" s="2556"/>
      <c r="Y163" s="2556"/>
      <c r="Z163" s="2042"/>
      <c r="AA163" s="2043"/>
      <c r="AB163" s="2044"/>
      <c r="AC163" s="2045"/>
      <c r="AD163" s="2044"/>
      <c r="AE163" s="2045"/>
      <c r="AF163" s="2555"/>
      <c r="AG163" s="2551"/>
      <c r="AH163" s="2551"/>
      <c r="AI163" s="2555"/>
      <c r="AJ163" s="2551"/>
      <c r="AK163" s="2551"/>
      <c r="AL163" s="1989"/>
      <c r="AM163" s="1826"/>
      <c r="AN163" s="1826"/>
      <c r="AO163" s="1826"/>
      <c r="AP163" s="1826"/>
      <c r="AQ163" s="1826"/>
      <c r="AR163" s="1826"/>
      <c r="AS163" s="1826"/>
      <c r="AT163" s="1826"/>
      <c r="AU163" s="1826"/>
      <c r="AV163" s="1826"/>
      <c r="AW163" s="1826"/>
      <c r="AX163" s="1826"/>
      <c r="AY163" s="1826"/>
      <c r="AZ163" s="1826"/>
      <c r="BA163" s="1826"/>
      <c r="BB163" s="1826"/>
      <c r="BC163" s="1826"/>
      <c r="BD163" s="1826"/>
      <c r="BE163" s="1826"/>
      <c r="BF163" s="1826"/>
      <c r="BG163" s="1639"/>
    </row>
    <row customHeight="1" ht="0.75">
      <c r="A164" s="1170" t="s">
        <v>1219</v>
      </c>
      <c r="B164" s="1170"/>
      <c r="C164" s="1170"/>
      <c r="D164" s="1164"/>
      <c r="E164" s="1174"/>
      <c r="F164" s="2553"/>
      <c r="G164" s="2532"/>
      <c r="H164" s="2557"/>
      <c r="I164" s="2558"/>
      <c r="J164" s="2559"/>
      <c r="K164" s="2559"/>
      <c r="L164" s="2551"/>
      <c r="M164" s="2285"/>
      <c r="N164" s="2560"/>
      <c r="O164" s="2561"/>
      <c r="P164" s="2607"/>
      <c r="Q164" s="2556"/>
      <c r="R164" s="2556"/>
      <c r="S164" s="2556"/>
      <c r="T164" s="2556"/>
      <c r="U164" s="2556"/>
      <c r="V164" s="2556"/>
      <c r="W164" s="2556"/>
      <c r="X164" s="2556"/>
      <c r="Y164" s="2556"/>
      <c r="Z164" s="2038"/>
      <c r="AA164" s="2039"/>
      <c r="AB164" s="2046"/>
      <c r="AC164" s="2040"/>
      <c r="AD164" s="2040"/>
      <c r="AE164" s="2047"/>
      <c r="AF164" s="2555"/>
      <c r="AG164" s="2551"/>
      <c r="AH164" s="2551"/>
      <c r="AI164" s="2555"/>
      <c r="AJ164" s="2551"/>
      <c r="AK164" s="2551"/>
      <c r="AL164" s="1989"/>
      <c r="AM164" s="1826"/>
      <c r="AN164" s="1826"/>
      <c r="AO164" s="1826"/>
      <c r="AP164" s="1826"/>
      <c r="AQ164" s="1826"/>
      <c r="AR164" s="1826"/>
      <c r="AS164" s="1826"/>
      <c r="AT164" s="1826"/>
      <c r="AU164" s="1826"/>
      <c r="AV164" s="1826"/>
      <c r="AW164" s="1826"/>
      <c r="AX164" s="1826"/>
      <c r="AY164" s="1826"/>
      <c r="AZ164" s="1826"/>
      <c r="BA164" s="1826"/>
      <c r="BB164" s="1826"/>
      <c r="BC164" s="1826"/>
      <c r="BD164" s="1826"/>
      <c r="BE164" s="1826"/>
      <c r="BF164" s="1826"/>
      <c r="BG164" s="1639"/>
    </row>
    <row customHeight="1" ht="0.75">
      <c r="A165" s="1170" t="s">
        <v>1219</v>
      </c>
      <c r="B165" s="1170"/>
      <c r="C165" s="1170"/>
      <c r="D165" s="1164"/>
      <c r="E165" s="1174"/>
      <c r="F165" s="2553"/>
      <c r="G165" s="2532"/>
      <c r="H165" s="2557"/>
      <c r="I165" s="2558"/>
      <c r="J165" s="2559"/>
      <c r="K165" s="2559"/>
      <c r="L165" s="2551"/>
      <c r="M165" s="2285"/>
      <c r="N165" s="2039"/>
      <c r="O165" s="2039"/>
      <c r="P165" s="2046"/>
      <c r="Q165" s="2039"/>
      <c r="R165" s="2039"/>
      <c r="S165" s="2039"/>
      <c r="T165" s="2039"/>
      <c r="U165" s="2039"/>
      <c r="V165" s="2039"/>
      <c r="W165" s="2039"/>
      <c r="X165" s="2039"/>
      <c r="Y165" s="2039"/>
      <c r="Z165" s="2039"/>
      <c r="AA165" s="2039"/>
      <c r="AB165" s="2039"/>
      <c r="AC165" s="2039"/>
      <c r="AD165" s="2039"/>
      <c r="AE165" s="2048"/>
      <c r="AF165" s="2555"/>
      <c r="AG165" s="2551"/>
      <c r="AH165" s="2551"/>
      <c r="AI165" s="2555"/>
      <c r="AJ165" s="2551"/>
      <c r="AK165" s="2551"/>
      <c r="AL165" s="1989"/>
      <c r="AM165" s="1826"/>
      <c r="AN165" s="1826"/>
      <c r="AO165" s="1826"/>
      <c r="AP165" s="1826"/>
      <c r="AQ165" s="1826"/>
      <c r="AR165" s="1826"/>
      <c r="AS165" s="1826"/>
      <c r="AT165" s="1826"/>
      <c r="AU165" s="1826"/>
      <c r="AV165" s="1826"/>
      <c r="AW165" s="1826"/>
      <c r="AX165" s="1826"/>
      <c r="AY165" s="1826"/>
      <c r="AZ165" s="1826"/>
      <c r="BA165" s="1826"/>
      <c r="BB165" s="1826"/>
      <c r="BC165" s="1826"/>
      <c r="BD165" s="1826"/>
      <c r="BE165" s="1826"/>
      <c r="BF165" s="1826"/>
      <c r="BG165" s="1639"/>
    </row>
    <row customHeight="1" ht="12">
      <c r="A166" s="1170" t="s">
        <v>1219</v>
      </c>
      <c r="B166" s="1170"/>
      <c r="C166" s="1170"/>
      <c r="D166" s="1164"/>
      <c r="E166" s="1174"/>
      <c r="F166" s="2554"/>
      <c r="G166" s="1194"/>
      <c r="H166" s="1194"/>
      <c r="I166" s="2552" t="s">
        <v>1300</v>
      </c>
      <c r="J166" s="2552"/>
      <c r="K166" s="2552"/>
      <c r="L166" s="1177"/>
      <c r="M166" s="1177"/>
      <c r="N166" s="1178"/>
      <c r="O166" s="1178"/>
      <c r="P166" s="1178"/>
      <c r="Q166" s="1178"/>
      <c r="R166" s="1178"/>
      <c r="S166" s="1178"/>
      <c r="T166" s="1178"/>
      <c r="U166" s="1178"/>
      <c r="V166" s="1178"/>
      <c r="W166" s="1178"/>
      <c r="X166" s="1178"/>
      <c r="Y166" s="1178"/>
      <c r="Z166" s="1178"/>
      <c r="AA166" s="1178"/>
      <c r="AB166" s="1178"/>
      <c r="AC166" s="1178"/>
      <c r="AD166" s="1178"/>
      <c r="AE166" s="1178"/>
      <c r="AF166" s="1178"/>
      <c r="AG166" s="1177"/>
      <c r="AH166" s="1177"/>
      <c r="AI166" s="1178"/>
      <c r="AJ166" s="1177"/>
      <c r="AK166" s="1178"/>
      <c r="AL166" s="1989"/>
      <c r="AM166" s="1826"/>
      <c r="AN166" s="1826"/>
      <c r="AO166" s="1826"/>
      <c r="AP166" s="1826"/>
      <c r="AQ166" s="1826"/>
      <c r="AR166" s="1826"/>
      <c r="AS166" s="1826"/>
      <c r="AT166" s="1826"/>
      <c r="AU166" s="1826"/>
      <c r="AV166" s="1826"/>
      <c r="AW166" s="1826"/>
      <c r="AX166" s="1826"/>
      <c r="AY166" s="1826"/>
      <c r="AZ166" s="1826"/>
      <c r="BA166" s="1826"/>
      <c r="BB166" s="1826"/>
      <c r="BC166" s="1826"/>
      <c r="BD166" s="1826"/>
      <c r="BE166" s="1826"/>
      <c r="BF166" s="1826"/>
      <c r="BG166" s="1639"/>
    </row>
    <row customHeight="1" ht="0.75">
      <c r="A167" s="1170" t="s">
        <v>1219</v>
      </c>
      <c r="B167" s="1170"/>
      <c r="C167" s="1170"/>
      <c r="D167" s="1164"/>
      <c r="E167" s="1174"/>
      <c r="F167" s="2553">
        <v>2024</v>
      </c>
      <c r="G167" s="2532"/>
      <c r="H167" s="2557" t="s">
        <v>514</v>
      </c>
      <c r="I167" s="2558"/>
      <c r="J167" s="2559"/>
      <c r="K167" s="2559"/>
      <c r="L167" s="2551"/>
      <c r="M167" s="2285"/>
      <c r="N167" s="2037"/>
      <c r="O167" s="2036"/>
      <c r="P167" s="2037"/>
      <c r="Q167" s="2037"/>
      <c r="R167" s="2037"/>
      <c r="S167" s="2037"/>
      <c r="T167" s="2037"/>
      <c r="U167" s="2037"/>
      <c r="V167" s="2037"/>
      <c r="W167" s="2037"/>
      <c r="X167" s="2037"/>
      <c r="Y167" s="2037"/>
      <c r="Z167" s="2037"/>
      <c r="AA167" s="2037"/>
      <c r="AB167" s="2037"/>
      <c r="AC167" s="2037"/>
      <c r="AD167" s="2037"/>
      <c r="AE167" s="2037"/>
      <c r="AF167" s="2555"/>
      <c r="AG167" s="2551"/>
      <c r="AH167" s="2551"/>
      <c r="AI167" s="2555"/>
      <c r="AJ167" s="2551"/>
      <c r="AK167" s="2551"/>
      <c r="AL167" s="1989"/>
      <c r="AM167" s="1826"/>
      <c r="AN167" s="1826"/>
      <c r="AO167" s="1826"/>
      <c r="AP167" s="1826"/>
      <c r="AQ167" s="1826"/>
      <c r="AR167" s="1826"/>
      <c r="AS167" s="1826"/>
      <c r="AT167" s="1826"/>
      <c r="AU167" s="1826"/>
      <c r="AV167" s="1826"/>
      <c r="AW167" s="1826"/>
      <c r="AX167" s="1826"/>
      <c r="AY167" s="1826"/>
      <c r="AZ167" s="1826"/>
      <c r="BA167" s="1826"/>
      <c r="BB167" s="1826"/>
      <c r="BC167" s="1826"/>
      <c r="BD167" s="1826"/>
      <c r="BE167" s="1826"/>
      <c r="BF167" s="1826"/>
      <c r="BG167" s="1639"/>
    </row>
    <row customHeight="1" ht="0.75">
      <c r="A168" s="1170" t="s">
        <v>1219</v>
      </c>
      <c r="B168" s="1170"/>
      <c r="C168" s="1170"/>
      <c r="D168" s="1164"/>
      <c r="E168" s="1174"/>
      <c r="F168" s="2553"/>
      <c r="G168" s="2532"/>
      <c r="H168" s="2557"/>
      <c r="I168" s="2558"/>
      <c r="J168" s="2559"/>
      <c r="K168" s="2559"/>
      <c r="L168" s="2551"/>
      <c r="M168" s="2285"/>
      <c r="N168" s="2560"/>
      <c r="O168" s="2561"/>
      <c r="P168" s="2605"/>
      <c r="Q168" s="2556"/>
      <c r="R168" s="2556"/>
      <c r="S168" s="2556"/>
      <c r="T168" s="2556"/>
      <c r="U168" s="2556"/>
      <c r="V168" s="2556"/>
      <c r="W168" s="2556"/>
      <c r="X168" s="2556"/>
      <c r="Y168" s="2556"/>
      <c r="Z168" s="2038"/>
      <c r="AA168" s="2039"/>
      <c r="AB168" s="2039"/>
      <c r="AC168" s="2040"/>
      <c r="AD168" s="2040"/>
      <c r="AE168" s="2041"/>
      <c r="AF168" s="2555"/>
      <c r="AG168" s="2551"/>
      <c r="AH168" s="2551"/>
      <c r="AI168" s="2555"/>
      <c r="AJ168" s="2551"/>
      <c r="AK168" s="2551"/>
      <c r="AL168" s="1989"/>
      <c r="AM168" s="1826"/>
      <c r="AN168" s="1826"/>
      <c r="AO168" s="1826"/>
      <c r="AP168" s="1826"/>
      <c r="AQ168" s="1826"/>
      <c r="AR168" s="1826"/>
      <c r="AS168" s="1826"/>
      <c r="AT168" s="1826"/>
      <c r="AU168" s="1826"/>
      <c r="AV168" s="1826"/>
      <c r="AW168" s="1826"/>
      <c r="AX168" s="1826"/>
      <c r="AY168" s="1826"/>
      <c r="AZ168" s="1826"/>
      <c r="BA168" s="1826"/>
      <c r="BB168" s="1826"/>
      <c r="BC168" s="1826"/>
      <c r="BD168" s="1826"/>
      <c r="BE168" s="1826"/>
      <c r="BF168" s="1826"/>
      <c r="BG168" s="1639"/>
    </row>
    <row customHeight="1" ht="0.75">
      <c r="A169" s="1170" t="s">
        <v>1219</v>
      </c>
      <c r="B169" s="1170"/>
      <c r="C169" s="1170"/>
      <c r="D169" s="1164"/>
      <c r="E169" s="1174"/>
      <c r="F169" s="2553"/>
      <c r="G169" s="2532"/>
      <c r="H169" s="2557"/>
      <c r="I169" s="2558"/>
      <c r="J169" s="2559"/>
      <c r="K169" s="2559"/>
      <c r="L169" s="2551"/>
      <c r="M169" s="2285"/>
      <c r="N169" s="2560"/>
      <c r="O169" s="2561"/>
      <c r="P169" s="2606"/>
      <c r="Q169" s="2556"/>
      <c r="R169" s="2556"/>
      <c r="S169" s="2556"/>
      <c r="T169" s="2556"/>
      <c r="U169" s="2556"/>
      <c r="V169" s="2556"/>
      <c r="W169" s="2556"/>
      <c r="X169" s="2556"/>
      <c r="Y169" s="2556"/>
      <c r="Z169" s="2042"/>
      <c r="AA169" s="2043"/>
      <c r="AB169" s="2044"/>
      <c r="AC169" s="2045"/>
      <c r="AD169" s="2044"/>
      <c r="AE169" s="2045"/>
      <c r="AF169" s="2555"/>
      <c r="AG169" s="2551"/>
      <c r="AH169" s="2551"/>
      <c r="AI169" s="2555"/>
      <c r="AJ169" s="2551"/>
      <c r="AK169" s="2551"/>
      <c r="AL169" s="1989"/>
      <c r="AM169" s="1826"/>
      <c r="AN169" s="1826"/>
      <c r="AO169" s="1826"/>
      <c r="AP169" s="1826"/>
      <c r="AQ169" s="1826"/>
      <c r="AR169" s="1826"/>
      <c r="AS169" s="1826"/>
      <c r="AT169" s="1826"/>
      <c r="AU169" s="1826"/>
      <c r="AV169" s="1826"/>
      <c r="AW169" s="1826"/>
      <c r="AX169" s="1826"/>
      <c r="AY169" s="1826"/>
      <c r="AZ169" s="1826"/>
      <c r="BA169" s="1826"/>
      <c r="BB169" s="1826"/>
      <c r="BC169" s="1826"/>
      <c r="BD169" s="1826"/>
      <c r="BE169" s="1826"/>
      <c r="BF169" s="1826"/>
      <c r="BG169" s="1639"/>
    </row>
    <row customHeight="1" ht="0.75">
      <c r="A170" s="1170" t="s">
        <v>1219</v>
      </c>
      <c r="B170" s="1170"/>
      <c r="C170" s="1170"/>
      <c r="D170" s="1164"/>
      <c r="E170" s="1174"/>
      <c r="F170" s="2553"/>
      <c r="G170" s="2532"/>
      <c r="H170" s="2557"/>
      <c r="I170" s="2558"/>
      <c r="J170" s="2559"/>
      <c r="K170" s="2559"/>
      <c r="L170" s="2551"/>
      <c r="M170" s="2285"/>
      <c r="N170" s="2560"/>
      <c r="O170" s="2561"/>
      <c r="P170" s="2607"/>
      <c r="Q170" s="2556"/>
      <c r="R170" s="2556"/>
      <c r="S170" s="2556"/>
      <c r="T170" s="2556"/>
      <c r="U170" s="2556"/>
      <c r="V170" s="2556"/>
      <c r="W170" s="2556"/>
      <c r="X170" s="2556"/>
      <c r="Y170" s="2556"/>
      <c r="Z170" s="2038"/>
      <c r="AA170" s="2039"/>
      <c r="AB170" s="2046"/>
      <c r="AC170" s="2040"/>
      <c r="AD170" s="2040"/>
      <c r="AE170" s="2047"/>
      <c r="AF170" s="2555"/>
      <c r="AG170" s="2551"/>
      <c r="AH170" s="2551"/>
      <c r="AI170" s="2555"/>
      <c r="AJ170" s="2551"/>
      <c r="AK170" s="2551"/>
      <c r="AL170" s="1989"/>
      <c r="AM170" s="1826"/>
      <c r="AN170" s="1826"/>
      <c r="AO170" s="1826"/>
      <c r="AP170" s="1826"/>
      <c r="AQ170" s="1826"/>
      <c r="AR170" s="1826"/>
      <c r="AS170" s="1826"/>
      <c r="AT170" s="1826"/>
      <c r="AU170" s="1826"/>
      <c r="AV170" s="1826"/>
      <c r="AW170" s="1826"/>
      <c r="AX170" s="1826"/>
      <c r="AY170" s="1826"/>
      <c r="AZ170" s="1826"/>
      <c r="BA170" s="1826"/>
      <c r="BB170" s="1826"/>
      <c r="BC170" s="1826"/>
      <c r="BD170" s="1826"/>
      <c r="BE170" s="1826"/>
      <c r="BF170" s="1826"/>
      <c r="BG170" s="1639"/>
    </row>
    <row customHeight="1" ht="0.75">
      <c r="A171" s="1170" t="s">
        <v>1219</v>
      </c>
      <c r="B171" s="1170"/>
      <c r="C171" s="1170"/>
      <c r="D171" s="1164"/>
      <c r="E171" s="1174"/>
      <c r="F171" s="2553"/>
      <c r="G171" s="2532"/>
      <c r="H171" s="2557"/>
      <c r="I171" s="2558"/>
      <c r="J171" s="2559"/>
      <c r="K171" s="2559"/>
      <c r="L171" s="2551"/>
      <c r="M171" s="2285"/>
      <c r="N171" s="2039"/>
      <c r="O171" s="2039"/>
      <c r="P171" s="2046"/>
      <c r="Q171" s="2039"/>
      <c r="R171" s="2039"/>
      <c r="S171" s="2039"/>
      <c r="T171" s="2039"/>
      <c r="U171" s="2039"/>
      <c r="V171" s="2039"/>
      <c r="W171" s="2039"/>
      <c r="X171" s="2039"/>
      <c r="Y171" s="2039"/>
      <c r="Z171" s="2039"/>
      <c r="AA171" s="2039"/>
      <c r="AB171" s="2039"/>
      <c r="AC171" s="2039"/>
      <c r="AD171" s="2039"/>
      <c r="AE171" s="2048"/>
      <c r="AF171" s="2555"/>
      <c r="AG171" s="2551"/>
      <c r="AH171" s="2551"/>
      <c r="AI171" s="2555"/>
      <c r="AJ171" s="2551"/>
      <c r="AK171" s="2551"/>
      <c r="AL171" s="1989"/>
      <c r="AM171" s="1826"/>
      <c r="AN171" s="1826"/>
      <c r="AO171" s="1826"/>
      <c r="AP171" s="1826"/>
      <c r="AQ171" s="1826"/>
      <c r="AR171" s="1826"/>
      <c r="AS171" s="1826"/>
      <c r="AT171" s="1826"/>
      <c r="AU171" s="1826"/>
      <c r="AV171" s="1826"/>
      <c r="AW171" s="1826"/>
      <c r="AX171" s="1826"/>
      <c r="AY171" s="1826"/>
      <c r="AZ171" s="1826"/>
      <c r="BA171" s="1826"/>
      <c r="BB171" s="1826"/>
      <c r="BC171" s="1826"/>
      <c r="BD171" s="1826"/>
      <c r="BE171" s="1826"/>
      <c r="BF171" s="1826"/>
      <c r="BG171" s="1639"/>
    </row>
    <row customHeight="1" ht="11.25">
      <c r="A172" s="1170" t="s">
        <v>1219</v>
      </c>
      <c r="B172" s="1170"/>
      <c r="C172" s="1170"/>
      <c r="D172" s="1164"/>
      <c r="E172" s="1174"/>
      <c r="F172" s="1832"/>
      <c r="G172" s="687" t="s">
        <v>103</v>
      </c>
      <c r="H172" s="2532" t="s">
        <v>105</v>
      </c>
      <c r="I172" s="2533"/>
      <c r="J172" s="2502"/>
      <c r="K172" s="2534" t="s">
        <v>1326</v>
      </c>
      <c r="L172" s="2124" t="s">
        <v>19</v>
      </c>
      <c r="M172" s="2125"/>
      <c r="N172" s="1987"/>
      <c r="O172" s="1181" t="s">
        <v>514</v>
      </c>
      <c r="P172" s="1182"/>
      <c r="Q172" s="1182"/>
      <c r="R172" s="1182"/>
      <c r="S172" s="1182"/>
      <c r="T172" s="1182"/>
      <c r="U172" s="1182"/>
      <c r="V172" s="1182"/>
      <c r="W172" s="1182"/>
      <c r="X172" s="1182"/>
      <c r="Y172" s="1182"/>
      <c r="Z172" s="1182"/>
      <c r="AA172" s="1182"/>
      <c r="AB172" s="1182"/>
      <c r="AC172" s="1182"/>
      <c r="AD172" s="1182"/>
      <c r="AE172" s="1182"/>
      <c r="AF172" s="2523">
        <v>11</v>
      </c>
      <c r="AG172" s="2524" t="s">
        <v>1302</v>
      </c>
      <c r="AH172" s="2524" t="s">
        <v>1327</v>
      </c>
      <c r="AI172" s="2523">
        <v>11</v>
      </c>
      <c r="AJ172" s="2524" t="s">
        <v>1302</v>
      </c>
      <c r="AK172" s="2524" t="s">
        <v>1327</v>
      </c>
      <c r="AL172" s="1989"/>
      <c r="AM172" s="1826"/>
      <c r="AN172" s="1826"/>
      <c r="AO172" s="1826"/>
      <c r="AP172" s="1826"/>
      <c r="AQ172" s="1826"/>
      <c r="AR172" s="1826"/>
      <c r="AS172" s="1826"/>
      <c r="AT172" s="1826"/>
      <c r="AU172" s="1826"/>
      <c r="AV172" s="1826"/>
      <c r="AW172" s="1826"/>
      <c r="AX172" s="1826"/>
      <c r="AY172" s="1826"/>
      <c r="AZ172" s="1826"/>
      <c r="BA172" s="1826"/>
      <c r="BB172" s="1826"/>
      <c r="BC172" s="1826"/>
      <c r="BD172" s="1826"/>
      <c r="BE172" s="1826"/>
      <c r="BF172" s="1826"/>
      <c r="BG172" s="1639"/>
    </row>
    <row customHeight="1" ht="11.25">
      <c r="A173" s="1170" t="s">
        <v>1219</v>
      </c>
      <c r="B173" s="1170"/>
      <c r="C173" s="1170"/>
      <c r="D173" s="1164"/>
      <c r="E173" s="1174"/>
      <c r="F173" s="1832"/>
      <c r="G173" s="1833"/>
      <c r="H173" s="2532" t="s">
        <v>514</v>
      </c>
      <c r="I173" s="2533"/>
      <c r="J173" s="2502"/>
      <c r="K173" s="2534"/>
      <c r="L173" s="2124"/>
      <c r="M173" s="2125"/>
      <c r="N173" s="2525"/>
      <c r="O173" s="2526">
        <v>1</v>
      </c>
      <c r="P173" s="2527" t="s">
        <v>64</v>
      </c>
      <c r="Q173" s="3351" t="s">
        <v>1328</v>
      </c>
      <c r="R173" s="3352" t="s">
        <v>1305</v>
      </c>
      <c r="S173" s="3352" t="s">
        <v>136</v>
      </c>
      <c r="T173" s="3352" t="s">
        <v>136</v>
      </c>
      <c r="U173" s="3352" t="s">
        <v>137</v>
      </c>
      <c r="V173" s="3352" t="s">
        <v>1329</v>
      </c>
      <c r="W173" s="3352" t="s">
        <v>1330</v>
      </c>
      <c r="X173" s="3352" t="s">
        <v>1331</v>
      </c>
      <c r="Y173" s="3352" t="s">
        <v>1332</v>
      </c>
      <c r="Z173" s="1179"/>
      <c r="AA173" s="1180"/>
      <c r="AB173" s="1180"/>
      <c r="AC173" s="1184"/>
      <c r="AD173" s="1184"/>
      <c r="AE173" s="1185"/>
      <c r="AF173" s="2523"/>
      <c r="AG173" s="2524"/>
      <c r="AH173" s="2524"/>
      <c r="AI173" s="2523"/>
      <c r="AJ173" s="2524"/>
      <c r="AK173" s="2524"/>
      <c r="AL173" s="1989"/>
      <c r="AM173" s="1826"/>
      <c r="AN173" s="1826"/>
      <c r="AO173" s="1826"/>
      <c r="AP173" s="1826"/>
      <c r="AQ173" s="1826"/>
      <c r="AR173" s="1826"/>
      <c r="AS173" s="1826"/>
      <c r="AT173" s="1826"/>
      <c r="AU173" s="1826"/>
      <c r="AV173" s="1826"/>
      <c r="AW173" s="1826"/>
      <c r="AX173" s="1826"/>
      <c r="AY173" s="1826"/>
      <c r="AZ173" s="1826"/>
      <c r="BA173" s="1826"/>
      <c r="BB173" s="1826"/>
      <c r="BC173" s="1826"/>
      <c r="BD173" s="1826"/>
      <c r="BE173" s="1826"/>
      <c r="BF173" s="1826"/>
      <c r="BG173" s="1639"/>
    </row>
    <row customHeight="1" ht="11.25">
      <c r="A174" s="1170" t="s">
        <v>1219</v>
      </c>
      <c r="B174" s="1170"/>
      <c r="C174" s="1170"/>
      <c r="D174" s="1164"/>
      <c r="E174" s="1174"/>
      <c r="F174" s="1832"/>
      <c r="G174" s="1833"/>
      <c r="H174" s="2532" t="s">
        <v>514</v>
      </c>
      <c r="I174" s="2533"/>
      <c r="J174" s="2502"/>
      <c r="K174" s="2534"/>
      <c r="L174" s="2124"/>
      <c r="M174" s="2125"/>
      <c r="N174" s="2525"/>
      <c r="O174" s="2526"/>
      <c r="P174" s="2528"/>
      <c r="Q174" s="3351"/>
      <c r="R174" s="2530"/>
      <c r="S174" s="2531"/>
      <c r="T174" s="2530"/>
      <c r="U174" s="2530"/>
      <c r="V174" s="2530"/>
      <c r="W174" s="2530"/>
      <c r="X174" s="2530"/>
      <c r="Y174" s="2530"/>
      <c r="Z174" s="1831"/>
      <c r="AA174" s="1797">
        <v>1</v>
      </c>
      <c r="AB174" s="1183" t="s">
        <v>1312</v>
      </c>
      <c r="AC174" s="1173">
        <v>0</v>
      </c>
      <c r="AD174" s="1183" t="str">
        <f>AB174</f>
        <v>  Прибыль направляемая на инвестиции</v>
      </c>
      <c r="AE174" s="1173">
        <v>0</v>
      </c>
      <c r="AF174" s="2523"/>
      <c r="AG174" s="2524"/>
      <c r="AH174" s="2524"/>
      <c r="AI174" s="2523"/>
      <c r="AJ174" s="2524"/>
      <c r="AK174" s="2524"/>
      <c r="AL174" s="1989"/>
      <c r="AM174" s="1826"/>
      <c r="AN174" s="1826"/>
      <c r="AO174" s="1826"/>
      <c r="AP174" s="1826"/>
      <c r="AQ174" s="1826"/>
      <c r="AR174" s="1826"/>
      <c r="AS174" s="1826"/>
      <c r="AT174" s="1826"/>
      <c r="AU174" s="1826"/>
      <c r="AV174" s="1826"/>
      <c r="AW174" s="1826"/>
      <c r="AX174" s="1826"/>
      <c r="AY174" s="1826"/>
      <c r="AZ174" s="1826"/>
      <c r="BA174" s="1826"/>
      <c r="BB174" s="1826"/>
      <c r="BC174" s="1826"/>
      <c r="BD174" s="1826"/>
      <c r="BE174" s="1826"/>
      <c r="BF174" s="1826"/>
      <c r="BG174" s="1639"/>
    </row>
    <row customHeight="1" ht="11.25">
      <c r="A175" s="1170" t="s">
        <v>1219</v>
      </c>
      <c r="B175" s="1170"/>
      <c r="C175" s="1170"/>
      <c r="D175" s="1164"/>
      <c r="E175" s="1174"/>
      <c r="F175" s="1832"/>
      <c r="G175" s="1833"/>
      <c r="H175" s="2532" t="s">
        <v>514</v>
      </c>
      <c r="I175" s="2533"/>
      <c r="J175" s="2502"/>
      <c r="K175" s="2534"/>
      <c r="L175" s="2124"/>
      <c r="M175" s="2125"/>
      <c r="N175" s="2525"/>
      <c r="O175" s="2526"/>
      <c r="P175" s="2529"/>
      <c r="Q175" s="3351"/>
      <c r="R175" s="2530"/>
      <c r="S175" s="2531"/>
      <c r="T175" s="2530"/>
      <c r="U175" s="2530"/>
      <c r="V175" s="2530"/>
      <c r="W175" s="2530"/>
      <c r="X175" s="2530"/>
      <c r="Y175" s="2530"/>
      <c r="Z175" s="1179"/>
      <c r="AA175" s="1180"/>
      <c r="AB175" s="1245" t="s">
        <v>1313</v>
      </c>
      <c r="AC175" s="1184"/>
      <c r="AD175" s="1184"/>
      <c r="AE175" s="1186"/>
      <c r="AF175" s="2523"/>
      <c r="AG175" s="2524"/>
      <c r="AH175" s="2524"/>
      <c r="AI175" s="2523"/>
      <c r="AJ175" s="2524"/>
      <c r="AK175" s="2524"/>
      <c r="AL175" s="1989"/>
      <c r="AM175" s="1826"/>
      <c r="AN175" s="1826"/>
      <c r="AO175" s="1826"/>
      <c r="AP175" s="1826"/>
      <c r="AQ175" s="1826"/>
      <c r="AR175" s="1826"/>
      <c r="AS175" s="1826"/>
      <c r="AT175" s="1826"/>
      <c r="AU175" s="1826"/>
      <c r="AV175" s="1826"/>
      <c r="AW175" s="1826"/>
      <c r="AX175" s="1826"/>
      <c r="AY175" s="1826"/>
      <c r="AZ175" s="1826"/>
      <c r="BA175" s="1826"/>
      <c r="BB175" s="1826"/>
      <c r="BC175" s="1826"/>
      <c r="BD175" s="1826"/>
      <c r="BE175" s="1826"/>
      <c r="BF175" s="1826"/>
      <c r="BG175" s="1639"/>
    </row>
    <row customHeight="1" ht="11.25">
      <c r="A176" s="1170" t="s">
        <v>1219</v>
      </c>
      <c r="B176" s="1170"/>
      <c r="C176" s="1170"/>
      <c r="D176" s="1164"/>
      <c r="E176" s="1174"/>
      <c r="F176" s="1832"/>
      <c r="G176" s="1833"/>
      <c r="H176" s="2532" t="s">
        <v>514</v>
      </c>
      <c r="I176" s="2533"/>
      <c r="J176" s="2502"/>
      <c r="K176" s="2534"/>
      <c r="L176" s="2124"/>
      <c r="M176" s="2125"/>
      <c r="N176" s="1179"/>
      <c r="O176" s="1180"/>
      <c r="P176" s="1172" t="s">
        <v>1314</v>
      </c>
      <c r="Q176" s="1180"/>
      <c r="R176" s="1180"/>
      <c r="S176" s="1180"/>
      <c r="T176" s="1180"/>
      <c r="U176" s="1180"/>
      <c r="V176" s="1180"/>
      <c r="W176" s="1180"/>
      <c r="X176" s="1180"/>
      <c r="Y176" s="1180"/>
      <c r="Z176" s="1180"/>
      <c r="AA176" s="1180"/>
      <c r="AB176" s="1180"/>
      <c r="AC176" s="1180"/>
      <c r="AD176" s="1180"/>
      <c r="AE176" s="1187"/>
      <c r="AF176" s="2523"/>
      <c r="AG176" s="2524"/>
      <c r="AH176" s="2524"/>
      <c r="AI176" s="2523"/>
      <c r="AJ176" s="2524"/>
      <c r="AK176" s="2524"/>
      <c r="AL176" s="1989"/>
      <c r="AM176" s="1826"/>
      <c r="AN176" s="1826"/>
      <c r="AO176" s="1826"/>
      <c r="AP176" s="1826"/>
      <c r="AQ176" s="1826"/>
      <c r="AR176" s="1826"/>
      <c r="AS176" s="1826"/>
      <c r="AT176" s="1826"/>
      <c r="AU176" s="1826"/>
      <c r="AV176" s="1826"/>
      <c r="AW176" s="1826"/>
      <c r="AX176" s="1826"/>
      <c r="AY176" s="1826"/>
      <c r="AZ176" s="1826"/>
      <c r="BA176" s="1826"/>
      <c r="BB176" s="1826"/>
      <c r="BC176" s="1826"/>
      <c r="BD176" s="1826"/>
      <c r="BE176" s="1826"/>
      <c r="BF176" s="1826"/>
      <c r="BG176" s="1639"/>
    </row>
    <row customHeight="1" ht="12">
      <c r="A177" s="1170" t="s">
        <v>1219</v>
      </c>
      <c r="B177" s="1170"/>
      <c r="C177" s="1170"/>
      <c r="D177" s="1164"/>
      <c r="E177" s="1174"/>
      <c r="F177" s="2554"/>
      <c r="G177" s="1194"/>
      <c r="H177" s="1194"/>
      <c r="I177" s="2552" t="s">
        <v>1300</v>
      </c>
      <c r="J177" s="2552"/>
      <c r="K177" s="2552"/>
      <c r="L177" s="1177"/>
      <c r="M177" s="1177"/>
      <c r="N177" s="1178"/>
      <c r="O177" s="1178"/>
      <c r="P177" s="1178"/>
      <c r="Q177" s="1178"/>
      <c r="R177" s="1178"/>
      <c r="S177" s="1178"/>
      <c r="T177" s="1178"/>
      <c r="U177" s="1178"/>
      <c r="V177" s="1178"/>
      <c r="W177" s="1178"/>
      <c r="X177" s="1178"/>
      <c r="Y177" s="1178"/>
      <c r="Z177" s="1178"/>
      <c r="AA177" s="1178"/>
      <c r="AB177" s="1178"/>
      <c r="AC177" s="1178"/>
      <c r="AD177" s="1178"/>
      <c r="AE177" s="1178"/>
      <c r="AF177" s="1178"/>
      <c r="AG177" s="1177"/>
      <c r="AH177" s="1177"/>
      <c r="AI177" s="1178"/>
      <c r="AJ177" s="1177"/>
      <c r="AK177" s="1178"/>
      <c r="AL177" s="1989"/>
      <c r="AM177" s="1826"/>
      <c r="AN177" s="1826"/>
      <c r="AO177" s="1826"/>
      <c r="AP177" s="1826"/>
      <c r="AQ177" s="1826"/>
      <c r="AR177" s="1826"/>
      <c r="AS177" s="1826"/>
      <c r="AT177" s="1826"/>
      <c r="AU177" s="1826"/>
      <c r="AV177" s="1826"/>
      <c r="AW177" s="1826"/>
      <c r="AX177" s="1826"/>
      <c r="AY177" s="1826"/>
      <c r="AZ177" s="1826"/>
      <c r="BA177" s="1826"/>
      <c r="BB177" s="1826"/>
      <c r="BC177" s="1826"/>
      <c r="BD177" s="1826"/>
      <c r="BE177" s="1826"/>
      <c r="BF177" s="1826"/>
      <c r="BG177" s="1639"/>
    </row>
    <row customHeight="1" ht="0.75">
      <c r="A178" s="1170" t="s">
        <v>1219</v>
      </c>
      <c r="B178" s="1170"/>
      <c r="C178" s="1170"/>
      <c r="D178" s="1164"/>
      <c r="E178" s="1174"/>
      <c r="F178" s="2553">
        <v>2025</v>
      </c>
      <c r="G178" s="2532"/>
      <c r="H178" s="2557" t="s">
        <v>514</v>
      </c>
      <c r="I178" s="2558"/>
      <c r="J178" s="2559"/>
      <c r="K178" s="2559"/>
      <c r="L178" s="2551"/>
      <c r="M178" s="2285"/>
      <c r="N178" s="2037"/>
      <c r="O178" s="2036"/>
      <c r="P178" s="2037"/>
      <c r="Q178" s="2037"/>
      <c r="R178" s="2037"/>
      <c r="S178" s="2037"/>
      <c r="T178" s="2037"/>
      <c r="U178" s="2037"/>
      <c r="V178" s="2037"/>
      <c r="W178" s="2037"/>
      <c r="X178" s="2037"/>
      <c r="Y178" s="2037"/>
      <c r="Z178" s="2037"/>
      <c r="AA178" s="2037"/>
      <c r="AB178" s="2037"/>
      <c r="AC178" s="2037"/>
      <c r="AD178" s="2037"/>
      <c r="AE178" s="2037"/>
      <c r="AF178" s="2555"/>
      <c r="AG178" s="2551"/>
      <c r="AH178" s="2551"/>
      <c r="AI178" s="2555"/>
      <c r="AJ178" s="2551"/>
      <c r="AK178" s="2551"/>
      <c r="AL178" s="1989"/>
      <c r="AM178" s="1826"/>
      <c r="AN178" s="1826"/>
      <c r="AO178" s="1826"/>
      <c r="AP178" s="1826"/>
      <c r="AQ178" s="1826"/>
      <c r="AR178" s="1826"/>
      <c r="AS178" s="1826"/>
      <c r="AT178" s="1826"/>
      <c r="AU178" s="1826"/>
      <c r="AV178" s="1826"/>
      <c r="AW178" s="1826"/>
      <c r="AX178" s="1826"/>
      <c r="AY178" s="1826"/>
      <c r="AZ178" s="1826"/>
      <c r="BA178" s="1826"/>
      <c r="BB178" s="1826"/>
      <c r="BC178" s="1826"/>
      <c r="BD178" s="1826"/>
      <c r="BE178" s="1826"/>
      <c r="BF178" s="1826"/>
      <c r="BG178" s="1639"/>
    </row>
    <row customHeight="1" ht="0.75">
      <c r="A179" s="1170" t="s">
        <v>1219</v>
      </c>
      <c r="B179" s="1170"/>
      <c r="C179" s="1170"/>
      <c r="D179" s="1164"/>
      <c r="E179" s="1174"/>
      <c r="F179" s="2553"/>
      <c r="G179" s="2532"/>
      <c r="H179" s="2557"/>
      <c r="I179" s="2558"/>
      <c r="J179" s="2559"/>
      <c r="K179" s="2559"/>
      <c r="L179" s="2551"/>
      <c r="M179" s="2285"/>
      <c r="N179" s="2560"/>
      <c r="O179" s="2561"/>
      <c r="P179" s="2605"/>
      <c r="Q179" s="2556"/>
      <c r="R179" s="2556"/>
      <c r="S179" s="2556"/>
      <c r="T179" s="2556"/>
      <c r="U179" s="2556"/>
      <c r="V179" s="2556"/>
      <c r="W179" s="2556"/>
      <c r="X179" s="2556"/>
      <c r="Y179" s="2556"/>
      <c r="Z179" s="2038"/>
      <c r="AA179" s="2039"/>
      <c r="AB179" s="2039"/>
      <c r="AC179" s="2040"/>
      <c r="AD179" s="2040"/>
      <c r="AE179" s="2041"/>
      <c r="AF179" s="2555"/>
      <c r="AG179" s="2551"/>
      <c r="AH179" s="2551"/>
      <c r="AI179" s="2555"/>
      <c r="AJ179" s="2551"/>
      <c r="AK179" s="2551"/>
      <c r="AL179" s="1989"/>
      <c r="AM179" s="1826"/>
      <c r="AN179" s="1826"/>
      <c r="AO179" s="1826"/>
      <c r="AP179" s="1826"/>
      <c r="AQ179" s="1826"/>
      <c r="AR179" s="1826"/>
      <c r="AS179" s="1826"/>
      <c r="AT179" s="1826"/>
      <c r="AU179" s="1826"/>
      <c r="AV179" s="1826"/>
      <c r="AW179" s="1826"/>
      <c r="AX179" s="1826"/>
      <c r="AY179" s="1826"/>
      <c r="AZ179" s="1826"/>
      <c r="BA179" s="1826"/>
      <c r="BB179" s="1826"/>
      <c r="BC179" s="1826"/>
      <c r="BD179" s="1826"/>
      <c r="BE179" s="1826"/>
      <c r="BF179" s="1826"/>
      <c r="BG179" s="1639"/>
    </row>
    <row customHeight="1" ht="0.75">
      <c r="A180" s="1170" t="s">
        <v>1219</v>
      </c>
      <c r="B180" s="1170"/>
      <c r="C180" s="1170"/>
      <c r="D180" s="1164"/>
      <c r="E180" s="1174"/>
      <c r="F180" s="2553"/>
      <c r="G180" s="2532"/>
      <c r="H180" s="2557"/>
      <c r="I180" s="2558"/>
      <c r="J180" s="2559"/>
      <c r="K180" s="2559"/>
      <c r="L180" s="2551"/>
      <c r="M180" s="2285"/>
      <c r="N180" s="2560"/>
      <c r="O180" s="2561"/>
      <c r="P180" s="2606"/>
      <c r="Q180" s="2556"/>
      <c r="R180" s="2556"/>
      <c r="S180" s="2556"/>
      <c r="T180" s="2556"/>
      <c r="U180" s="2556"/>
      <c r="V180" s="2556"/>
      <c r="W180" s="2556"/>
      <c r="X180" s="2556"/>
      <c r="Y180" s="2556"/>
      <c r="Z180" s="2042"/>
      <c r="AA180" s="2043"/>
      <c r="AB180" s="2044"/>
      <c r="AC180" s="2045"/>
      <c r="AD180" s="2044"/>
      <c r="AE180" s="2045"/>
      <c r="AF180" s="2555"/>
      <c r="AG180" s="2551"/>
      <c r="AH180" s="2551"/>
      <c r="AI180" s="2555"/>
      <c r="AJ180" s="2551"/>
      <c r="AK180" s="2551"/>
      <c r="AL180" s="1989"/>
      <c r="AM180" s="1826"/>
      <c r="AN180" s="1826"/>
      <c r="AO180" s="1826"/>
      <c r="AP180" s="1826"/>
      <c r="AQ180" s="1826"/>
      <c r="AR180" s="1826"/>
      <c r="AS180" s="1826"/>
      <c r="AT180" s="1826"/>
      <c r="AU180" s="1826"/>
      <c r="AV180" s="1826"/>
      <c r="AW180" s="1826"/>
      <c r="AX180" s="1826"/>
      <c r="AY180" s="1826"/>
      <c r="AZ180" s="1826"/>
      <c r="BA180" s="1826"/>
      <c r="BB180" s="1826"/>
      <c r="BC180" s="1826"/>
      <c r="BD180" s="1826"/>
      <c r="BE180" s="1826"/>
      <c r="BF180" s="1826"/>
      <c r="BG180" s="1639"/>
    </row>
    <row customHeight="1" ht="0.75">
      <c r="A181" s="1170" t="s">
        <v>1219</v>
      </c>
      <c r="B181" s="1170"/>
      <c r="C181" s="1170"/>
      <c r="D181" s="1164"/>
      <c r="E181" s="1174"/>
      <c r="F181" s="2553"/>
      <c r="G181" s="2532"/>
      <c r="H181" s="2557"/>
      <c r="I181" s="2558"/>
      <c r="J181" s="2559"/>
      <c r="K181" s="2559"/>
      <c r="L181" s="2551"/>
      <c r="M181" s="2285"/>
      <c r="N181" s="2560"/>
      <c r="O181" s="2561"/>
      <c r="P181" s="2607"/>
      <c r="Q181" s="2556"/>
      <c r="R181" s="2556"/>
      <c r="S181" s="2556"/>
      <c r="T181" s="2556"/>
      <c r="U181" s="2556"/>
      <c r="V181" s="2556"/>
      <c r="W181" s="2556"/>
      <c r="X181" s="2556"/>
      <c r="Y181" s="2556"/>
      <c r="Z181" s="2038"/>
      <c r="AA181" s="2039"/>
      <c r="AB181" s="2046"/>
      <c r="AC181" s="2040"/>
      <c r="AD181" s="2040"/>
      <c r="AE181" s="2047"/>
      <c r="AF181" s="2555"/>
      <c r="AG181" s="2551"/>
      <c r="AH181" s="2551"/>
      <c r="AI181" s="2555"/>
      <c r="AJ181" s="2551"/>
      <c r="AK181" s="2551"/>
      <c r="AL181" s="1989"/>
      <c r="AM181" s="1826"/>
      <c r="AN181" s="1826"/>
      <c r="AO181" s="1826"/>
      <c r="AP181" s="1826"/>
      <c r="AQ181" s="1826"/>
      <c r="AR181" s="1826"/>
      <c r="AS181" s="1826"/>
      <c r="AT181" s="1826"/>
      <c r="AU181" s="1826"/>
      <c r="AV181" s="1826"/>
      <c r="AW181" s="1826"/>
      <c r="AX181" s="1826"/>
      <c r="AY181" s="1826"/>
      <c r="AZ181" s="1826"/>
      <c r="BA181" s="1826"/>
      <c r="BB181" s="1826"/>
      <c r="BC181" s="1826"/>
      <c r="BD181" s="1826"/>
      <c r="BE181" s="1826"/>
      <c r="BF181" s="1826"/>
      <c r="BG181" s="1639"/>
    </row>
    <row customHeight="1" ht="0.75">
      <c r="A182" s="1170" t="s">
        <v>1219</v>
      </c>
      <c r="B182" s="1170"/>
      <c r="C182" s="1170"/>
      <c r="D182" s="1164"/>
      <c r="E182" s="1174"/>
      <c r="F182" s="2553"/>
      <c r="G182" s="2532"/>
      <c r="H182" s="2557"/>
      <c r="I182" s="2558"/>
      <c r="J182" s="2559"/>
      <c r="K182" s="2559"/>
      <c r="L182" s="2551"/>
      <c r="M182" s="2285"/>
      <c r="N182" s="2039"/>
      <c r="O182" s="2039"/>
      <c r="P182" s="2046"/>
      <c r="Q182" s="2039"/>
      <c r="R182" s="2039"/>
      <c r="S182" s="2039"/>
      <c r="T182" s="2039"/>
      <c r="U182" s="2039"/>
      <c r="V182" s="2039"/>
      <c r="W182" s="2039"/>
      <c r="X182" s="2039"/>
      <c r="Y182" s="2039"/>
      <c r="Z182" s="2039"/>
      <c r="AA182" s="2039"/>
      <c r="AB182" s="2039"/>
      <c r="AC182" s="2039"/>
      <c r="AD182" s="2039"/>
      <c r="AE182" s="2048"/>
      <c r="AF182" s="2555"/>
      <c r="AG182" s="2551"/>
      <c r="AH182" s="2551"/>
      <c r="AI182" s="2555"/>
      <c r="AJ182" s="2551"/>
      <c r="AK182" s="2551"/>
      <c r="AL182" s="1989"/>
      <c r="AM182" s="1826"/>
      <c r="AN182" s="1826"/>
      <c r="AO182" s="1826"/>
      <c r="AP182" s="1826"/>
      <c r="AQ182" s="1826"/>
      <c r="AR182" s="1826"/>
      <c r="AS182" s="1826"/>
      <c r="AT182" s="1826"/>
      <c r="AU182" s="1826"/>
      <c r="AV182" s="1826"/>
      <c r="AW182" s="1826"/>
      <c r="AX182" s="1826"/>
      <c r="AY182" s="1826"/>
      <c r="AZ182" s="1826"/>
      <c r="BA182" s="1826"/>
      <c r="BB182" s="1826"/>
      <c r="BC182" s="1826"/>
      <c r="BD182" s="1826"/>
      <c r="BE182" s="1826"/>
      <c r="BF182" s="1826"/>
      <c r="BG182" s="1639"/>
    </row>
    <row customHeight="1" ht="12">
      <c r="A183" s="1170" t="s">
        <v>1219</v>
      </c>
      <c r="B183" s="1170"/>
      <c r="C183" s="1170"/>
      <c r="D183" s="1164"/>
      <c r="E183" s="1174"/>
      <c r="F183" s="2554"/>
      <c r="G183" s="1194"/>
      <c r="H183" s="1194"/>
      <c r="I183" s="2552" t="s">
        <v>1300</v>
      </c>
      <c r="J183" s="2552"/>
      <c r="K183" s="2552"/>
      <c r="L183" s="1177"/>
      <c r="M183" s="1177"/>
      <c r="N183" s="1178"/>
      <c r="O183" s="1178"/>
      <c r="P183" s="1178"/>
      <c r="Q183" s="1178"/>
      <c r="R183" s="1178"/>
      <c r="S183" s="1178"/>
      <c r="T183" s="1178"/>
      <c r="U183" s="1178"/>
      <c r="V183" s="1178"/>
      <c r="W183" s="1178"/>
      <c r="X183" s="1178"/>
      <c r="Y183" s="1178"/>
      <c r="Z183" s="1178"/>
      <c r="AA183" s="1178"/>
      <c r="AB183" s="1178"/>
      <c r="AC183" s="1178"/>
      <c r="AD183" s="1178"/>
      <c r="AE183" s="1178"/>
      <c r="AF183" s="1178"/>
      <c r="AG183" s="1177"/>
      <c r="AH183" s="1177"/>
      <c r="AI183" s="1178"/>
      <c r="AJ183" s="1177"/>
      <c r="AK183" s="1178"/>
      <c r="AL183" s="1989"/>
      <c r="AM183" s="1826"/>
      <c r="AN183" s="1826"/>
      <c r="AO183" s="1826"/>
      <c r="AP183" s="1826"/>
      <c r="AQ183" s="1826"/>
      <c r="AR183" s="1826"/>
      <c r="AS183" s="1826"/>
      <c r="AT183" s="1826"/>
      <c r="AU183" s="1826"/>
      <c r="AV183" s="1826"/>
      <c r="AW183" s="1826"/>
      <c r="AX183" s="1826"/>
      <c r="AY183" s="1826"/>
      <c r="AZ183" s="1826"/>
      <c r="BA183" s="1826"/>
      <c r="BB183" s="1826"/>
      <c r="BC183" s="1826"/>
      <c r="BD183" s="1826"/>
      <c r="BE183" s="1826"/>
      <c r="BF183" s="1826"/>
      <c r="BG183" s="1639"/>
    </row>
    <row customHeight="1" ht="0.75">
      <c r="A184" s="1170" t="s">
        <v>1219</v>
      </c>
      <c r="B184" s="1170"/>
      <c r="C184" s="1170"/>
      <c r="D184" s="1164"/>
      <c r="E184" s="1174"/>
      <c r="F184" s="2553">
        <v>2026</v>
      </c>
      <c r="G184" s="2532"/>
      <c r="H184" s="2557" t="s">
        <v>514</v>
      </c>
      <c r="I184" s="2558"/>
      <c r="J184" s="2559"/>
      <c r="K184" s="2559"/>
      <c r="L184" s="2551"/>
      <c r="M184" s="2285"/>
      <c r="N184" s="2037"/>
      <c r="O184" s="2036"/>
      <c r="P184" s="2037"/>
      <c r="Q184" s="2037"/>
      <c r="R184" s="2037"/>
      <c r="S184" s="2037"/>
      <c r="T184" s="2037"/>
      <c r="U184" s="2037"/>
      <c r="V184" s="2037"/>
      <c r="W184" s="2037"/>
      <c r="X184" s="2037"/>
      <c r="Y184" s="2037"/>
      <c r="Z184" s="2037"/>
      <c r="AA184" s="2037"/>
      <c r="AB184" s="2037"/>
      <c r="AC184" s="2037"/>
      <c r="AD184" s="2037"/>
      <c r="AE184" s="2037"/>
      <c r="AF184" s="2555"/>
      <c r="AG184" s="2551"/>
      <c r="AH184" s="2551"/>
      <c r="AI184" s="2555"/>
      <c r="AJ184" s="2551"/>
      <c r="AK184" s="2551"/>
      <c r="AL184" s="1989"/>
      <c r="AM184" s="1826"/>
      <c r="AN184" s="1826"/>
      <c r="AO184" s="1826"/>
      <c r="AP184" s="1826"/>
      <c r="AQ184" s="1826"/>
      <c r="AR184" s="1826"/>
      <c r="AS184" s="1826"/>
      <c r="AT184" s="1826"/>
      <c r="AU184" s="1826"/>
      <c r="AV184" s="1826"/>
      <c r="AW184" s="1826"/>
      <c r="AX184" s="1826"/>
      <c r="AY184" s="1826"/>
      <c r="AZ184" s="1826"/>
      <c r="BA184" s="1826"/>
      <c r="BB184" s="1826"/>
      <c r="BC184" s="1826"/>
      <c r="BD184" s="1826"/>
      <c r="BE184" s="1826"/>
      <c r="BF184" s="1826"/>
      <c r="BG184" s="1639"/>
    </row>
    <row customHeight="1" ht="0.75">
      <c r="A185" s="1170" t="s">
        <v>1219</v>
      </c>
      <c r="B185" s="1170"/>
      <c r="C185" s="1170"/>
      <c r="D185" s="1164"/>
      <c r="E185" s="1174"/>
      <c r="F185" s="2553"/>
      <c r="G185" s="2532"/>
      <c r="H185" s="2557"/>
      <c r="I185" s="2558"/>
      <c r="J185" s="2559"/>
      <c r="K185" s="2559"/>
      <c r="L185" s="2551"/>
      <c r="M185" s="2285"/>
      <c r="N185" s="2560"/>
      <c r="O185" s="2561"/>
      <c r="P185" s="2605"/>
      <c r="Q185" s="2556"/>
      <c r="R185" s="2556"/>
      <c r="S185" s="2556"/>
      <c r="T185" s="2556"/>
      <c r="U185" s="2556"/>
      <c r="V185" s="2556"/>
      <c r="W185" s="2556"/>
      <c r="X185" s="2556"/>
      <c r="Y185" s="2556"/>
      <c r="Z185" s="2038"/>
      <c r="AA185" s="2039"/>
      <c r="AB185" s="2039"/>
      <c r="AC185" s="2040"/>
      <c r="AD185" s="2040"/>
      <c r="AE185" s="2041"/>
      <c r="AF185" s="2555"/>
      <c r="AG185" s="2551"/>
      <c r="AH185" s="2551"/>
      <c r="AI185" s="2555"/>
      <c r="AJ185" s="2551"/>
      <c r="AK185" s="2551"/>
      <c r="AL185" s="1989"/>
      <c r="AM185" s="1826"/>
      <c r="AN185" s="1826"/>
      <c r="AO185" s="1826"/>
      <c r="AP185" s="1826"/>
      <c r="AQ185" s="1826"/>
      <c r="AR185" s="1826"/>
      <c r="AS185" s="1826"/>
      <c r="AT185" s="1826"/>
      <c r="AU185" s="1826"/>
      <c r="AV185" s="1826"/>
      <c r="AW185" s="1826"/>
      <c r="AX185" s="1826"/>
      <c r="AY185" s="1826"/>
      <c r="AZ185" s="1826"/>
      <c r="BA185" s="1826"/>
      <c r="BB185" s="1826"/>
      <c r="BC185" s="1826"/>
      <c r="BD185" s="1826"/>
      <c r="BE185" s="1826"/>
      <c r="BF185" s="1826"/>
      <c r="BG185" s="1639"/>
    </row>
    <row customHeight="1" ht="0.75">
      <c r="A186" s="1170" t="s">
        <v>1219</v>
      </c>
      <c r="B186" s="1170"/>
      <c r="C186" s="1170"/>
      <c r="D186" s="1164"/>
      <c r="E186" s="1174"/>
      <c r="F186" s="2553"/>
      <c r="G186" s="2532"/>
      <c r="H186" s="2557"/>
      <c r="I186" s="2558"/>
      <c r="J186" s="2559"/>
      <c r="K186" s="2559"/>
      <c r="L186" s="2551"/>
      <c r="M186" s="2285"/>
      <c r="N186" s="2560"/>
      <c r="O186" s="2561"/>
      <c r="P186" s="2606"/>
      <c r="Q186" s="2556"/>
      <c r="R186" s="2556"/>
      <c r="S186" s="2556"/>
      <c r="T186" s="2556"/>
      <c r="U186" s="2556"/>
      <c r="V186" s="2556"/>
      <c r="W186" s="2556"/>
      <c r="X186" s="2556"/>
      <c r="Y186" s="2556"/>
      <c r="Z186" s="2042"/>
      <c r="AA186" s="2043"/>
      <c r="AB186" s="2044"/>
      <c r="AC186" s="2045"/>
      <c r="AD186" s="2044"/>
      <c r="AE186" s="2045"/>
      <c r="AF186" s="2555"/>
      <c r="AG186" s="2551"/>
      <c r="AH186" s="2551"/>
      <c r="AI186" s="2555"/>
      <c r="AJ186" s="2551"/>
      <c r="AK186" s="2551"/>
      <c r="AL186" s="1989"/>
      <c r="AM186" s="1826"/>
      <c r="AN186" s="1826"/>
      <c r="AO186" s="1826"/>
      <c r="AP186" s="1826"/>
      <c r="AQ186" s="1826"/>
      <c r="AR186" s="1826"/>
      <c r="AS186" s="1826"/>
      <c r="AT186" s="1826"/>
      <c r="AU186" s="1826"/>
      <c r="AV186" s="1826"/>
      <c r="AW186" s="1826"/>
      <c r="AX186" s="1826"/>
      <c r="AY186" s="1826"/>
      <c r="AZ186" s="1826"/>
      <c r="BA186" s="1826"/>
      <c r="BB186" s="1826"/>
      <c r="BC186" s="1826"/>
      <c r="BD186" s="1826"/>
      <c r="BE186" s="1826"/>
      <c r="BF186" s="1826"/>
      <c r="BG186" s="1639"/>
    </row>
    <row customHeight="1" ht="0.75">
      <c r="A187" s="1170" t="s">
        <v>1219</v>
      </c>
      <c r="B187" s="1170"/>
      <c r="C187" s="1170"/>
      <c r="D187" s="1164"/>
      <c r="E187" s="1174"/>
      <c r="F187" s="2553"/>
      <c r="G187" s="2532"/>
      <c r="H187" s="2557"/>
      <c r="I187" s="2558"/>
      <c r="J187" s="2559"/>
      <c r="K187" s="2559"/>
      <c r="L187" s="2551"/>
      <c r="M187" s="2285"/>
      <c r="N187" s="2560"/>
      <c r="O187" s="2561"/>
      <c r="P187" s="2607"/>
      <c r="Q187" s="2556"/>
      <c r="R187" s="2556"/>
      <c r="S187" s="2556"/>
      <c r="T187" s="2556"/>
      <c r="U187" s="2556"/>
      <c r="V187" s="2556"/>
      <c r="W187" s="2556"/>
      <c r="X187" s="2556"/>
      <c r="Y187" s="2556"/>
      <c r="Z187" s="2038"/>
      <c r="AA187" s="2039"/>
      <c r="AB187" s="2046"/>
      <c r="AC187" s="2040"/>
      <c r="AD187" s="2040"/>
      <c r="AE187" s="2047"/>
      <c r="AF187" s="2555"/>
      <c r="AG187" s="2551"/>
      <c r="AH187" s="2551"/>
      <c r="AI187" s="2555"/>
      <c r="AJ187" s="2551"/>
      <c r="AK187" s="2551"/>
      <c r="AL187" s="1989"/>
      <c r="AM187" s="1826"/>
      <c r="AN187" s="1826"/>
      <c r="AO187" s="1826"/>
      <c r="AP187" s="1826"/>
      <c r="AQ187" s="1826"/>
      <c r="AR187" s="1826"/>
      <c r="AS187" s="1826"/>
      <c r="AT187" s="1826"/>
      <c r="AU187" s="1826"/>
      <c r="AV187" s="1826"/>
      <c r="AW187" s="1826"/>
      <c r="AX187" s="1826"/>
      <c r="AY187" s="1826"/>
      <c r="AZ187" s="1826"/>
      <c r="BA187" s="1826"/>
      <c r="BB187" s="1826"/>
      <c r="BC187" s="1826"/>
      <c r="BD187" s="1826"/>
      <c r="BE187" s="1826"/>
      <c r="BF187" s="1826"/>
      <c r="BG187" s="1639"/>
    </row>
    <row customHeight="1" ht="0.75">
      <c r="A188" s="1170" t="s">
        <v>1219</v>
      </c>
      <c r="B188" s="1170"/>
      <c r="C188" s="1170"/>
      <c r="D188" s="1164"/>
      <c r="E188" s="1174"/>
      <c r="F188" s="2553"/>
      <c r="G188" s="2532"/>
      <c r="H188" s="2557"/>
      <c r="I188" s="2558"/>
      <c r="J188" s="2559"/>
      <c r="K188" s="2559"/>
      <c r="L188" s="2551"/>
      <c r="M188" s="2285"/>
      <c r="N188" s="2039"/>
      <c r="O188" s="2039"/>
      <c r="P188" s="2046"/>
      <c r="Q188" s="2039"/>
      <c r="R188" s="2039"/>
      <c r="S188" s="2039"/>
      <c r="T188" s="2039"/>
      <c r="U188" s="2039"/>
      <c r="V188" s="2039"/>
      <c r="W188" s="2039"/>
      <c r="X188" s="2039"/>
      <c r="Y188" s="2039"/>
      <c r="Z188" s="2039"/>
      <c r="AA188" s="2039"/>
      <c r="AB188" s="2039"/>
      <c r="AC188" s="2039"/>
      <c r="AD188" s="2039"/>
      <c r="AE188" s="2048"/>
      <c r="AF188" s="2555"/>
      <c r="AG188" s="2551"/>
      <c r="AH188" s="2551"/>
      <c r="AI188" s="2555"/>
      <c r="AJ188" s="2551"/>
      <c r="AK188" s="2551"/>
      <c r="AL188" s="1989"/>
      <c r="AM188" s="1826"/>
      <c r="AN188" s="1826"/>
      <c r="AO188" s="1826"/>
      <c r="AP188" s="1826"/>
      <c r="AQ188" s="1826"/>
      <c r="AR188" s="1826"/>
      <c r="AS188" s="1826"/>
      <c r="AT188" s="1826"/>
      <c r="AU188" s="1826"/>
      <c r="AV188" s="1826"/>
      <c r="AW188" s="1826"/>
      <c r="AX188" s="1826"/>
      <c r="AY188" s="1826"/>
      <c r="AZ188" s="1826"/>
      <c r="BA188" s="1826"/>
      <c r="BB188" s="1826"/>
      <c r="BC188" s="1826"/>
      <c r="BD188" s="1826"/>
      <c r="BE188" s="1826"/>
      <c r="BF188" s="1826"/>
      <c r="BG188" s="1639"/>
    </row>
    <row customHeight="1" ht="12">
      <c r="A189" s="1170" t="s">
        <v>1219</v>
      </c>
      <c r="B189" s="1170"/>
      <c r="C189" s="1170"/>
      <c r="D189" s="1164"/>
      <c r="E189" s="1174"/>
      <c r="F189" s="2554"/>
      <c r="G189" s="1194"/>
      <c r="H189" s="1194"/>
      <c r="I189" s="2552" t="s">
        <v>1300</v>
      </c>
      <c r="J189" s="2552"/>
      <c r="K189" s="2552"/>
      <c r="L189" s="1177"/>
      <c r="M189" s="1177"/>
      <c r="N189" s="1178"/>
      <c r="O189" s="1178"/>
      <c r="P189" s="1178"/>
      <c r="Q189" s="1178"/>
      <c r="R189" s="1178"/>
      <c r="S189" s="1178"/>
      <c r="T189" s="1178"/>
      <c r="U189" s="1178"/>
      <c r="V189" s="1178"/>
      <c r="W189" s="1178"/>
      <c r="X189" s="1178"/>
      <c r="Y189" s="1178"/>
      <c r="Z189" s="1178"/>
      <c r="AA189" s="1178"/>
      <c r="AB189" s="1178"/>
      <c r="AC189" s="1178"/>
      <c r="AD189" s="1178"/>
      <c r="AE189" s="1178"/>
      <c r="AF189" s="1178"/>
      <c r="AG189" s="1177"/>
      <c r="AH189" s="1177"/>
      <c r="AI189" s="1178"/>
      <c r="AJ189" s="1177"/>
      <c r="AK189" s="1178"/>
      <c r="AL189" s="1989"/>
      <c r="AM189" s="1826"/>
      <c r="AN189" s="1826"/>
      <c r="AO189" s="1826"/>
      <c r="AP189" s="1826"/>
      <c r="AQ189" s="1826"/>
      <c r="AR189" s="1826"/>
      <c r="AS189" s="1826"/>
      <c r="AT189" s="1826"/>
      <c r="AU189" s="1826"/>
      <c r="AV189" s="1826"/>
      <c r="AW189" s="1826"/>
      <c r="AX189" s="1826"/>
      <c r="AY189" s="1826"/>
      <c r="AZ189" s="1826"/>
      <c r="BA189" s="1826"/>
      <c r="BB189" s="1826"/>
      <c r="BC189" s="1826"/>
      <c r="BD189" s="1826"/>
      <c r="BE189" s="1826"/>
      <c r="BF189" s="1826"/>
      <c r="BG189" s="1639"/>
    </row>
    <row customHeight="1" ht="0.75">
      <c r="A190" s="1170" t="s">
        <v>1219</v>
      </c>
      <c r="B190" s="1170"/>
      <c r="C190" s="1170"/>
      <c r="D190" s="1164"/>
      <c r="E190" s="1174"/>
      <c r="F190" s="2553">
        <v>2027</v>
      </c>
      <c r="G190" s="2532"/>
      <c r="H190" s="2557" t="s">
        <v>514</v>
      </c>
      <c r="I190" s="2558"/>
      <c r="J190" s="2559"/>
      <c r="K190" s="2559"/>
      <c r="L190" s="2551"/>
      <c r="M190" s="2285"/>
      <c r="N190" s="2037"/>
      <c r="O190" s="2036"/>
      <c r="P190" s="2037"/>
      <c r="Q190" s="2037"/>
      <c r="R190" s="2037"/>
      <c r="S190" s="2037"/>
      <c r="T190" s="2037"/>
      <c r="U190" s="2037"/>
      <c r="V190" s="2037"/>
      <c r="W190" s="2037"/>
      <c r="X190" s="2037"/>
      <c r="Y190" s="2037"/>
      <c r="Z190" s="2037"/>
      <c r="AA190" s="2037"/>
      <c r="AB190" s="2037"/>
      <c r="AC190" s="2037"/>
      <c r="AD190" s="2037"/>
      <c r="AE190" s="2037"/>
      <c r="AF190" s="2555"/>
      <c r="AG190" s="2551"/>
      <c r="AH190" s="2551"/>
      <c r="AI190" s="2555"/>
      <c r="AJ190" s="2551"/>
      <c r="AK190" s="2551"/>
      <c r="AL190" s="1989"/>
      <c r="AM190" s="1826"/>
      <c r="AN190" s="1826"/>
      <c r="AO190" s="1826"/>
      <c r="AP190" s="1826"/>
      <c r="AQ190" s="1826"/>
      <c r="AR190" s="1826"/>
      <c r="AS190" s="1826"/>
      <c r="AT190" s="1826"/>
      <c r="AU190" s="1826"/>
      <c r="AV190" s="1826"/>
      <c r="AW190" s="1826"/>
      <c r="AX190" s="1826"/>
      <c r="AY190" s="1826"/>
      <c r="AZ190" s="1826"/>
      <c r="BA190" s="1826"/>
      <c r="BB190" s="1826"/>
      <c r="BC190" s="1826"/>
      <c r="BD190" s="1826"/>
      <c r="BE190" s="1826"/>
      <c r="BF190" s="1826"/>
      <c r="BG190" s="1639"/>
    </row>
    <row customHeight="1" ht="0.75">
      <c r="A191" s="1170" t="s">
        <v>1219</v>
      </c>
      <c r="B191" s="1170"/>
      <c r="C191" s="1170"/>
      <c r="D191" s="1164"/>
      <c r="E191" s="1174"/>
      <c r="F191" s="2553"/>
      <c r="G191" s="2532"/>
      <c r="H191" s="2557"/>
      <c r="I191" s="2558"/>
      <c r="J191" s="2559"/>
      <c r="K191" s="2559"/>
      <c r="L191" s="2551"/>
      <c r="M191" s="2285"/>
      <c r="N191" s="2560"/>
      <c r="O191" s="2561"/>
      <c r="P191" s="2605"/>
      <c r="Q191" s="2556"/>
      <c r="R191" s="2556"/>
      <c r="S191" s="2556"/>
      <c r="T191" s="2556"/>
      <c r="U191" s="2556"/>
      <c r="V191" s="2556"/>
      <c r="W191" s="2556"/>
      <c r="X191" s="2556"/>
      <c r="Y191" s="2556"/>
      <c r="Z191" s="2038"/>
      <c r="AA191" s="2039"/>
      <c r="AB191" s="2039"/>
      <c r="AC191" s="2040"/>
      <c r="AD191" s="2040"/>
      <c r="AE191" s="2041"/>
      <c r="AF191" s="2555"/>
      <c r="AG191" s="2551"/>
      <c r="AH191" s="2551"/>
      <c r="AI191" s="2555"/>
      <c r="AJ191" s="2551"/>
      <c r="AK191" s="2551"/>
      <c r="AL191" s="1989"/>
      <c r="AM191" s="1826"/>
      <c r="AN191" s="1826"/>
      <c r="AO191" s="1826"/>
      <c r="AP191" s="1826"/>
      <c r="AQ191" s="1826"/>
      <c r="AR191" s="1826"/>
      <c r="AS191" s="1826"/>
      <c r="AT191" s="1826"/>
      <c r="AU191" s="1826"/>
      <c r="AV191" s="1826"/>
      <c r="AW191" s="1826"/>
      <c r="AX191" s="1826"/>
      <c r="AY191" s="1826"/>
      <c r="AZ191" s="1826"/>
      <c r="BA191" s="1826"/>
      <c r="BB191" s="1826"/>
      <c r="BC191" s="1826"/>
      <c r="BD191" s="1826"/>
      <c r="BE191" s="1826"/>
      <c r="BF191" s="1826"/>
      <c r="BG191" s="1639"/>
    </row>
    <row customHeight="1" ht="0.75">
      <c r="A192" s="1170" t="s">
        <v>1219</v>
      </c>
      <c r="B192" s="1170"/>
      <c r="C192" s="1170"/>
      <c r="D192" s="1164"/>
      <c r="E192" s="1174"/>
      <c r="F192" s="2553"/>
      <c r="G192" s="2532"/>
      <c r="H192" s="2557"/>
      <c r="I192" s="2558"/>
      <c r="J192" s="2559"/>
      <c r="K192" s="2559"/>
      <c r="L192" s="2551"/>
      <c r="M192" s="2285"/>
      <c r="N192" s="2560"/>
      <c r="O192" s="2561"/>
      <c r="P192" s="2606"/>
      <c r="Q192" s="2556"/>
      <c r="R192" s="2556"/>
      <c r="S192" s="2556"/>
      <c r="T192" s="2556"/>
      <c r="U192" s="2556"/>
      <c r="V192" s="2556"/>
      <c r="W192" s="2556"/>
      <c r="X192" s="2556"/>
      <c r="Y192" s="2556"/>
      <c r="Z192" s="2042"/>
      <c r="AA192" s="2043"/>
      <c r="AB192" s="2044"/>
      <c r="AC192" s="2045"/>
      <c r="AD192" s="2044"/>
      <c r="AE192" s="2045"/>
      <c r="AF192" s="2555"/>
      <c r="AG192" s="2551"/>
      <c r="AH192" s="2551"/>
      <c r="AI192" s="2555"/>
      <c r="AJ192" s="2551"/>
      <c r="AK192" s="2551"/>
      <c r="AL192" s="1989"/>
      <c r="AM192" s="1826"/>
      <c r="AN192" s="1826"/>
      <c r="AO192" s="1826"/>
      <c r="AP192" s="1826"/>
      <c r="AQ192" s="1826"/>
      <c r="AR192" s="1826"/>
      <c r="AS192" s="1826"/>
      <c r="AT192" s="1826"/>
      <c r="AU192" s="1826"/>
      <c r="AV192" s="1826"/>
      <c r="AW192" s="1826"/>
      <c r="AX192" s="1826"/>
      <c r="AY192" s="1826"/>
      <c r="AZ192" s="1826"/>
      <c r="BA192" s="1826"/>
      <c r="BB192" s="1826"/>
      <c r="BC192" s="1826"/>
      <c r="BD192" s="1826"/>
      <c r="BE192" s="1826"/>
      <c r="BF192" s="1826"/>
      <c r="BG192" s="1639"/>
    </row>
    <row customHeight="1" ht="0.75">
      <c r="A193" s="1170" t="s">
        <v>1219</v>
      </c>
      <c r="B193" s="1170"/>
      <c r="C193" s="1170"/>
      <c r="D193" s="1164"/>
      <c r="E193" s="1174"/>
      <c r="F193" s="2553"/>
      <c r="G193" s="2532"/>
      <c r="H193" s="2557"/>
      <c r="I193" s="2558"/>
      <c r="J193" s="2559"/>
      <c r="K193" s="2559"/>
      <c r="L193" s="2551"/>
      <c r="M193" s="2285"/>
      <c r="N193" s="2560"/>
      <c r="O193" s="2561"/>
      <c r="P193" s="2607"/>
      <c r="Q193" s="2556"/>
      <c r="R193" s="2556"/>
      <c r="S193" s="2556"/>
      <c r="T193" s="2556"/>
      <c r="U193" s="2556"/>
      <c r="V193" s="2556"/>
      <c r="W193" s="2556"/>
      <c r="X193" s="2556"/>
      <c r="Y193" s="2556"/>
      <c r="Z193" s="2038"/>
      <c r="AA193" s="2039"/>
      <c r="AB193" s="2046"/>
      <c r="AC193" s="2040"/>
      <c r="AD193" s="2040"/>
      <c r="AE193" s="2047"/>
      <c r="AF193" s="2555"/>
      <c r="AG193" s="2551"/>
      <c r="AH193" s="2551"/>
      <c r="AI193" s="2555"/>
      <c r="AJ193" s="2551"/>
      <c r="AK193" s="2551"/>
      <c r="AL193" s="1989"/>
      <c r="AM193" s="1826"/>
      <c r="AN193" s="1826"/>
      <c r="AO193" s="1826"/>
      <c r="AP193" s="1826"/>
      <c r="AQ193" s="1826"/>
      <c r="AR193" s="1826"/>
      <c r="AS193" s="1826"/>
      <c r="AT193" s="1826"/>
      <c r="AU193" s="1826"/>
      <c r="AV193" s="1826"/>
      <c r="AW193" s="1826"/>
      <c r="AX193" s="1826"/>
      <c r="AY193" s="1826"/>
      <c r="AZ193" s="1826"/>
      <c r="BA193" s="1826"/>
      <c r="BB193" s="1826"/>
      <c r="BC193" s="1826"/>
      <c r="BD193" s="1826"/>
      <c r="BE193" s="1826"/>
      <c r="BF193" s="1826"/>
      <c r="BG193" s="1639"/>
    </row>
    <row customHeight="1" ht="0.75">
      <c r="A194" s="1170" t="s">
        <v>1219</v>
      </c>
      <c r="B194" s="1170"/>
      <c r="C194" s="1170"/>
      <c r="D194" s="1164"/>
      <c r="E194" s="1174"/>
      <c r="F194" s="2553"/>
      <c r="G194" s="2532"/>
      <c r="H194" s="2557"/>
      <c r="I194" s="2558"/>
      <c r="J194" s="2559"/>
      <c r="K194" s="2559"/>
      <c r="L194" s="2551"/>
      <c r="M194" s="2285"/>
      <c r="N194" s="2039"/>
      <c r="O194" s="2039"/>
      <c r="P194" s="2046"/>
      <c r="Q194" s="2039"/>
      <c r="R194" s="2039"/>
      <c r="S194" s="2039"/>
      <c r="T194" s="2039"/>
      <c r="U194" s="2039"/>
      <c r="V194" s="2039"/>
      <c r="W194" s="2039"/>
      <c r="X194" s="2039"/>
      <c r="Y194" s="2039"/>
      <c r="Z194" s="2039"/>
      <c r="AA194" s="2039"/>
      <c r="AB194" s="2039"/>
      <c r="AC194" s="2039"/>
      <c r="AD194" s="2039"/>
      <c r="AE194" s="2048"/>
      <c r="AF194" s="2555"/>
      <c r="AG194" s="2551"/>
      <c r="AH194" s="2551"/>
      <c r="AI194" s="2555"/>
      <c r="AJ194" s="2551"/>
      <c r="AK194" s="2551"/>
      <c r="AL194" s="1989"/>
      <c r="AM194" s="1826"/>
      <c r="AN194" s="1826"/>
      <c r="AO194" s="1826"/>
      <c r="AP194" s="1826"/>
      <c r="AQ194" s="1826"/>
      <c r="AR194" s="1826"/>
      <c r="AS194" s="1826"/>
      <c r="AT194" s="1826"/>
      <c r="AU194" s="1826"/>
      <c r="AV194" s="1826"/>
      <c r="AW194" s="1826"/>
      <c r="AX194" s="1826"/>
      <c r="AY194" s="1826"/>
      <c r="AZ194" s="1826"/>
      <c r="BA194" s="1826"/>
      <c r="BB194" s="1826"/>
      <c r="BC194" s="1826"/>
      <c r="BD194" s="1826"/>
      <c r="BE194" s="1826"/>
      <c r="BF194" s="1826"/>
      <c r="BG194" s="1639"/>
    </row>
    <row customHeight="1" ht="12">
      <c r="A195" s="1170" t="s">
        <v>1219</v>
      </c>
      <c r="B195" s="1170"/>
      <c r="C195" s="1170"/>
      <c r="D195" s="1164"/>
      <c r="E195" s="1174"/>
      <c r="F195" s="2554"/>
      <c r="G195" s="1194"/>
      <c r="H195" s="1194"/>
      <c r="I195" s="2552" t="s">
        <v>1300</v>
      </c>
      <c r="J195" s="2552"/>
      <c r="K195" s="2552"/>
      <c r="L195" s="1177"/>
      <c r="M195" s="1177"/>
      <c r="N195" s="1178"/>
      <c r="O195" s="1178"/>
      <c r="P195" s="1178"/>
      <c r="Q195" s="1178"/>
      <c r="R195" s="1178"/>
      <c r="S195" s="1178"/>
      <c r="T195" s="1178"/>
      <c r="U195" s="1178"/>
      <c r="V195" s="1178"/>
      <c r="W195" s="1178"/>
      <c r="X195" s="1178"/>
      <c r="Y195" s="1178"/>
      <c r="Z195" s="1178"/>
      <c r="AA195" s="1178"/>
      <c r="AB195" s="1178"/>
      <c r="AC195" s="1178"/>
      <c r="AD195" s="1178"/>
      <c r="AE195" s="1178"/>
      <c r="AF195" s="1178"/>
      <c r="AG195" s="1177"/>
      <c r="AH195" s="1177"/>
      <c r="AI195" s="1178"/>
      <c r="AJ195" s="1177"/>
      <c r="AK195" s="1178"/>
      <c r="AL195" s="1989"/>
      <c r="AM195" s="1826"/>
      <c r="AN195" s="1826"/>
      <c r="AO195" s="1826"/>
      <c r="AP195" s="1826"/>
      <c r="AQ195" s="1826"/>
      <c r="AR195" s="1826"/>
      <c r="AS195" s="1826"/>
      <c r="AT195" s="1826"/>
      <c r="AU195" s="1826"/>
      <c r="AV195" s="1826"/>
      <c r="AW195" s="1826"/>
      <c r="AX195" s="1826"/>
      <c r="AY195" s="1826"/>
      <c r="AZ195" s="1826"/>
      <c r="BA195" s="1826"/>
      <c r="BB195" s="1826"/>
      <c r="BC195" s="1826"/>
      <c r="BD195" s="1826"/>
      <c r="BE195" s="1826"/>
      <c r="BF195" s="1826"/>
      <c r="BG195" s="1639"/>
    </row>
    <row customHeight="1" ht="0.75">
      <c r="A196" s="1170" t="s">
        <v>1219</v>
      </c>
      <c r="B196" s="1170"/>
      <c r="C196" s="1170"/>
      <c r="D196" s="1164"/>
      <c r="E196" s="1174"/>
      <c r="F196" s="2553">
        <v>2028</v>
      </c>
      <c r="G196" s="2532"/>
      <c r="H196" s="2557" t="s">
        <v>514</v>
      </c>
      <c r="I196" s="2558"/>
      <c r="J196" s="2559"/>
      <c r="K196" s="2559"/>
      <c r="L196" s="2551"/>
      <c r="M196" s="2285"/>
      <c r="N196" s="2037"/>
      <c r="O196" s="2036"/>
      <c r="P196" s="2037"/>
      <c r="Q196" s="2037"/>
      <c r="R196" s="2037"/>
      <c r="S196" s="2037"/>
      <c r="T196" s="2037"/>
      <c r="U196" s="2037"/>
      <c r="V196" s="2037"/>
      <c r="W196" s="2037"/>
      <c r="X196" s="2037"/>
      <c r="Y196" s="2037"/>
      <c r="Z196" s="2037"/>
      <c r="AA196" s="2037"/>
      <c r="AB196" s="2037"/>
      <c r="AC196" s="2037"/>
      <c r="AD196" s="2037"/>
      <c r="AE196" s="2037"/>
      <c r="AF196" s="2555"/>
      <c r="AG196" s="2551"/>
      <c r="AH196" s="2551"/>
      <c r="AI196" s="2555"/>
      <c r="AJ196" s="2551"/>
      <c r="AK196" s="2551"/>
      <c r="AL196" s="1989"/>
      <c r="AM196" s="1826"/>
      <c r="AN196" s="1826"/>
      <c r="AO196" s="1826"/>
      <c r="AP196" s="1826"/>
      <c r="AQ196" s="1826"/>
      <c r="AR196" s="1826"/>
      <c r="AS196" s="1826"/>
      <c r="AT196" s="1826"/>
      <c r="AU196" s="1826"/>
      <c r="AV196" s="1826"/>
      <c r="AW196" s="1826"/>
      <c r="AX196" s="1826"/>
      <c r="AY196" s="1826"/>
      <c r="AZ196" s="1826"/>
      <c r="BA196" s="1826"/>
      <c r="BB196" s="1826"/>
      <c r="BC196" s="1826"/>
      <c r="BD196" s="1826"/>
      <c r="BE196" s="1826"/>
      <c r="BF196" s="1826"/>
      <c r="BG196" s="1639"/>
    </row>
    <row customHeight="1" ht="0.75">
      <c r="A197" s="1170" t="s">
        <v>1219</v>
      </c>
      <c r="B197" s="1170"/>
      <c r="C197" s="1170"/>
      <c r="D197" s="1164"/>
      <c r="E197" s="1174"/>
      <c r="F197" s="2553"/>
      <c r="G197" s="2532"/>
      <c r="H197" s="2557"/>
      <c r="I197" s="2558"/>
      <c r="J197" s="2559"/>
      <c r="K197" s="2559"/>
      <c r="L197" s="2551"/>
      <c r="M197" s="2285"/>
      <c r="N197" s="2560"/>
      <c r="O197" s="2561"/>
      <c r="P197" s="2605"/>
      <c r="Q197" s="2556"/>
      <c r="R197" s="2556"/>
      <c r="S197" s="2556"/>
      <c r="T197" s="2556"/>
      <c r="U197" s="2556"/>
      <c r="V197" s="2556"/>
      <c r="W197" s="2556"/>
      <c r="X197" s="2556"/>
      <c r="Y197" s="2556"/>
      <c r="Z197" s="2038"/>
      <c r="AA197" s="2039"/>
      <c r="AB197" s="2039"/>
      <c r="AC197" s="2040"/>
      <c r="AD197" s="2040"/>
      <c r="AE197" s="2041"/>
      <c r="AF197" s="2555"/>
      <c r="AG197" s="2551"/>
      <c r="AH197" s="2551"/>
      <c r="AI197" s="2555"/>
      <c r="AJ197" s="2551"/>
      <c r="AK197" s="2551"/>
      <c r="AL197" s="1989"/>
      <c r="AM197" s="1826"/>
      <c r="AN197" s="1826"/>
      <c r="AO197" s="1826"/>
      <c r="AP197" s="1826"/>
      <c r="AQ197" s="1826"/>
      <c r="AR197" s="1826"/>
      <c r="AS197" s="1826"/>
      <c r="AT197" s="1826"/>
      <c r="AU197" s="1826"/>
      <c r="AV197" s="1826"/>
      <c r="AW197" s="1826"/>
      <c r="AX197" s="1826"/>
      <c r="AY197" s="1826"/>
      <c r="AZ197" s="1826"/>
      <c r="BA197" s="1826"/>
      <c r="BB197" s="1826"/>
      <c r="BC197" s="1826"/>
      <c r="BD197" s="1826"/>
      <c r="BE197" s="1826"/>
      <c r="BF197" s="1826"/>
      <c r="BG197" s="1639"/>
    </row>
    <row customHeight="1" ht="0.75">
      <c r="A198" s="1170" t="s">
        <v>1219</v>
      </c>
      <c r="B198" s="1170"/>
      <c r="C198" s="1170"/>
      <c r="D198" s="1164"/>
      <c r="E198" s="1174"/>
      <c r="F198" s="2553"/>
      <c r="G198" s="2532"/>
      <c r="H198" s="2557"/>
      <c r="I198" s="2558"/>
      <c r="J198" s="2559"/>
      <c r="K198" s="2559"/>
      <c r="L198" s="2551"/>
      <c r="M198" s="2285"/>
      <c r="N198" s="2560"/>
      <c r="O198" s="2561"/>
      <c r="P198" s="2606"/>
      <c r="Q198" s="2556"/>
      <c r="R198" s="2556"/>
      <c r="S198" s="2556"/>
      <c r="T198" s="2556"/>
      <c r="U198" s="2556"/>
      <c r="V198" s="2556"/>
      <c r="W198" s="2556"/>
      <c r="X198" s="2556"/>
      <c r="Y198" s="2556"/>
      <c r="Z198" s="2042"/>
      <c r="AA198" s="2043"/>
      <c r="AB198" s="2044"/>
      <c r="AC198" s="2045"/>
      <c r="AD198" s="2044"/>
      <c r="AE198" s="2045"/>
      <c r="AF198" s="2555"/>
      <c r="AG198" s="2551"/>
      <c r="AH198" s="2551"/>
      <c r="AI198" s="2555"/>
      <c r="AJ198" s="2551"/>
      <c r="AK198" s="2551"/>
      <c r="AL198" s="1989"/>
      <c r="AM198" s="1826"/>
      <c r="AN198" s="1826"/>
      <c r="AO198" s="1826"/>
      <c r="AP198" s="1826"/>
      <c r="AQ198" s="1826"/>
      <c r="AR198" s="1826"/>
      <c r="AS198" s="1826"/>
      <c r="AT198" s="1826"/>
      <c r="AU198" s="1826"/>
      <c r="AV198" s="1826"/>
      <c r="AW198" s="1826"/>
      <c r="AX198" s="1826"/>
      <c r="AY198" s="1826"/>
      <c r="AZ198" s="1826"/>
      <c r="BA198" s="1826"/>
      <c r="BB198" s="1826"/>
      <c r="BC198" s="1826"/>
      <c r="BD198" s="1826"/>
      <c r="BE198" s="1826"/>
      <c r="BF198" s="1826"/>
      <c r="BG198" s="1639"/>
    </row>
    <row customHeight="1" ht="0.75">
      <c r="A199" s="1170" t="s">
        <v>1219</v>
      </c>
      <c r="B199" s="1170"/>
      <c r="C199" s="1170"/>
      <c r="D199" s="1164"/>
      <c r="E199" s="1174"/>
      <c r="F199" s="2553"/>
      <c r="G199" s="2532"/>
      <c r="H199" s="2557"/>
      <c r="I199" s="2558"/>
      <c r="J199" s="2559"/>
      <c r="K199" s="2559"/>
      <c r="L199" s="2551"/>
      <c r="M199" s="2285"/>
      <c r="N199" s="2560"/>
      <c r="O199" s="2561"/>
      <c r="P199" s="2607"/>
      <c r="Q199" s="2556"/>
      <c r="R199" s="2556"/>
      <c r="S199" s="2556"/>
      <c r="T199" s="2556"/>
      <c r="U199" s="2556"/>
      <c r="V199" s="2556"/>
      <c r="W199" s="2556"/>
      <c r="X199" s="2556"/>
      <c r="Y199" s="2556"/>
      <c r="Z199" s="2038"/>
      <c r="AA199" s="2039"/>
      <c r="AB199" s="2046"/>
      <c r="AC199" s="2040"/>
      <c r="AD199" s="2040"/>
      <c r="AE199" s="2047"/>
      <c r="AF199" s="2555"/>
      <c r="AG199" s="2551"/>
      <c r="AH199" s="2551"/>
      <c r="AI199" s="2555"/>
      <c r="AJ199" s="2551"/>
      <c r="AK199" s="2551"/>
      <c r="AL199" s="1989"/>
      <c r="AM199" s="1826"/>
      <c r="AN199" s="1826"/>
      <c r="AO199" s="1826"/>
      <c r="AP199" s="1826"/>
      <c r="AQ199" s="1826"/>
      <c r="AR199" s="1826"/>
      <c r="AS199" s="1826"/>
      <c r="AT199" s="1826"/>
      <c r="AU199" s="1826"/>
      <c r="AV199" s="1826"/>
      <c r="AW199" s="1826"/>
      <c r="AX199" s="1826"/>
      <c r="AY199" s="1826"/>
      <c r="AZ199" s="1826"/>
      <c r="BA199" s="1826"/>
      <c r="BB199" s="1826"/>
      <c r="BC199" s="1826"/>
      <c r="BD199" s="1826"/>
      <c r="BE199" s="1826"/>
      <c r="BF199" s="1826"/>
      <c r="BG199" s="1639"/>
    </row>
    <row customHeight="1" ht="0.75">
      <c r="A200" s="1170" t="s">
        <v>1219</v>
      </c>
      <c r="B200" s="1170"/>
      <c r="C200" s="1170"/>
      <c r="D200" s="1164"/>
      <c r="E200" s="1174"/>
      <c r="F200" s="2553"/>
      <c r="G200" s="2532"/>
      <c r="H200" s="2557"/>
      <c r="I200" s="2558"/>
      <c r="J200" s="2559"/>
      <c r="K200" s="2559"/>
      <c r="L200" s="2551"/>
      <c r="M200" s="2285"/>
      <c r="N200" s="2039"/>
      <c r="O200" s="2039"/>
      <c r="P200" s="2046"/>
      <c r="Q200" s="2039"/>
      <c r="R200" s="2039"/>
      <c r="S200" s="2039"/>
      <c r="T200" s="2039"/>
      <c r="U200" s="2039"/>
      <c r="V200" s="2039"/>
      <c r="W200" s="2039"/>
      <c r="X200" s="2039"/>
      <c r="Y200" s="2039"/>
      <c r="Z200" s="2039"/>
      <c r="AA200" s="2039"/>
      <c r="AB200" s="2039"/>
      <c r="AC200" s="2039"/>
      <c r="AD200" s="2039"/>
      <c r="AE200" s="2048"/>
      <c r="AF200" s="2555"/>
      <c r="AG200" s="2551"/>
      <c r="AH200" s="2551"/>
      <c r="AI200" s="2555"/>
      <c r="AJ200" s="2551"/>
      <c r="AK200" s="2551"/>
      <c r="AL200" s="1989"/>
      <c r="AM200" s="1826"/>
      <c r="AN200" s="1826"/>
      <c r="AO200" s="1826"/>
      <c r="AP200" s="1826"/>
      <c r="AQ200" s="1826"/>
      <c r="AR200" s="1826"/>
      <c r="AS200" s="1826"/>
      <c r="AT200" s="1826"/>
      <c r="AU200" s="1826"/>
      <c r="AV200" s="1826"/>
      <c r="AW200" s="1826"/>
      <c r="AX200" s="1826"/>
      <c r="AY200" s="1826"/>
      <c r="AZ200" s="1826"/>
      <c r="BA200" s="1826"/>
      <c r="BB200" s="1826"/>
      <c r="BC200" s="1826"/>
      <c r="BD200" s="1826"/>
      <c r="BE200" s="1826"/>
      <c r="BF200" s="1826"/>
      <c r="BG200" s="1639"/>
    </row>
    <row customHeight="1" ht="12">
      <c r="A201" s="1170" t="s">
        <v>1219</v>
      </c>
      <c r="B201" s="1170"/>
      <c r="C201" s="1170"/>
      <c r="D201" s="1164"/>
      <c r="E201" s="1174"/>
      <c r="F201" s="2554"/>
      <c r="G201" s="1194"/>
      <c r="H201" s="1194"/>
      <c r="I201" s="2552" t="s">
        <v>1300</v>
      </c>
      <c r="J201" s="2552"/>
      <c r="K201" s="2552"/>
      <c r="L201" s="1177"/>
      <c r="M201" s="1177"/>
      <c r="N201" s="1178"/>
      <c r="O201" s="1178"/>
      <c r="P201" s="1178"/>
      <c r="Q201" s="1178"/>
      <c r="R201" s="1178"/>
      <c r="S201" s="1178"/>
      <c r="T201" s="1178"/>
      <c r="U201" s="1178"/>
      <c r="V201" s="1178"/>
      <c r="W201" s="1178"/>
      <c r="X201" s="1178"/>
      <c r="Y201" s="1178"/>
      <c r="Z201" s="1178"/>
      <c r="AA201" s="1178"/>
      <c r="AB201" s="1178"/>
      <c r="AC201" s="1178"/>
      <c r="AD201" s="1178"/>
      <c r="AE201" s="1178"/>
      <c r="AF201" s="1178"/>
      <c r="AG201" s="1177"/>
      <c r="AH201" s="1177"/>
      <c r="AI201" s="1178"/>
      <c r="AJ201" s="1177"/>
      <c r="AK201" s="1178"/>
      <c r="AL201" s="1989"/>
      <c r="AM201" s="1826"/>
      <c r="AN201" s="1826"/>
      <c r="AO201" s="1826"/>
      <c r="AP201" s="1826"/>
      <c r="AQ201" s="1826"/>
      <c r="AR201" s="1826"/>
      <c r="AS201" s="1826"/>
      <c r="AT201" s="1826"/>
      <c r="AU201" s="1826"/>
      <c r="AV201" s="1826"/>
      <c r="AW201" s="1826"/>
      <c r="AX201" s="1826"/>
      <c r="AY201" s="1826"/>
      <c r="AZ201" s="1826"/>
      <c r="BA201" s="1826"/>
      <c r="BB201" s="1826"/>
      <c r="BC201" s="1826"/>
      <c r="BD201" s="1826"/>
      <c r="BE201" s="1826"/>
      <c r="BF201" s="1826"/>
      <c r="BG201" s="1639"/>
    </row>
    <row customHeight="1" ht="0.75">
      <c r="A202" s="1170" t="s">
        <v>1219</v>
      </c>
      <c r="B202" s="1170"/>
      <c r="C202" s="1170"/>
      <c r="D202" s="1164"/>
      <c r="E202" s="1174"/>
      <c r="F202" s="2553">
        <v>2029</v>
      </c>
      <c r="G202" s="2532"/>
      <c r="H202" s="2557" t="s">
        <v>514</v>
      </c>
      <c r="I202" s="2558"/>
      <c r="J202" s="2559"/>
      <c r="K202" s="2559"/>
      <c r="L202" s="2551"/>
      <c r="M202" s="2285"/>
      <c r="N202" s="2037"/>
      <c r="O202" s="2036"/>
      <c r="P202" s="2037"/>
      <c r="Q202" s="2037"/>
      <c r="R202" s="2037"/>
      <c r="S202" s="2037"/>
      <c r="T202" s="2037"/>
      <c r="U202" s="2037"/>
      <c r="V202" s="2037"/>
      <c r="W202" s="2037"/>
      <c r="X202" s="2037"/>
      <c r="Y202" s="2037"/>
      <c r="Z202" s="2037"/>
      <c r="AA202" s="2037"/>
      <c r="AB202" s="2037"/>
      <c r="AC202" s="2037"/>
      <c r="AD202" s="2037"/>
      <c r="AE202" s="2037"/>
      <c r="AF202" s="2555"/>
      <c r="AG202" s="2551"/>
      <c r="AH202" s="2551"/>
      <c r="AI202" s="2555"/>
      <c r="AJ202" s="2551"/>
      <c r="AK202" s="2551"/>
      <c r="AL202" s="1989"/>
      <c r="AM202" s="1826"/>
      <c r="AN202" s="1826"/>
      <c r="AO202" s="1826"/>
      <c r="AP202" s="1826"/>
      <c r="AQ202" s="1826"/>
      <c r="AR202" s="1826"/>
      <c r="AS202" s="1826"/>
      <c r="AT202" s="1826"/>
      <c r="AU202" s="1826"/>
      <c r="AV202" s="1826"/>
      <c r="AW202" s="1826"/>
      <c r="AX202" s="1826"/>
      <c r="AY202" s="1826"/>
      <c r="AZ202" s="1826"/>
      <c r="BA202" s="1826"/>
      <c r="BB202" s="1826"/>
      <c r="BC202" s="1826"/>
      <c r="BD202" s="1826"/>
      <c r="BE202" s="1826"/>
      <c r="BF202" s="1826"/>
      <c r="BG202" s="1639"/>
    </row>
    <row customHeight="1" ht="0.75">
      <c r="A203" s="1170" t="s">
        <v>1219</v>
      </c>
      <c r="B203" s="1170"/>
      <c r="C203" s="1170"/>
      <c r="D203" s="1164"/>
      <c r="E203" s="1174"/>
      <c r="F203" s="2553"/>
      <c r="G203" s="2532"/>
      <c r="H203" s="2557"/>
      <c r="I203" s="2558"/>
      <c r="J203" s="2559"/>
      <c r="K203" s="2559"/>
      <c r="L203" s="2551"/>
      <c r="M203" s="2285"/>
      <c r="N203" s="2560"/>
      <c r="O203" s="2561"/>
      <c r="P203" s="2605"/>
      <c r="Q203" s="2556"/>
      <c r="R203" s="2556"/>
      <c r="S203" s="2556"/>
      <c r="T203" s="2556"/>
      <c r="U203" s="2556"/>
      <c r="V203" s="2556"/>
      <c r="W203" s="2556"/>
      <c r="X203" s="2556"/>
      <c r="Y203" s="2556"/>
      <c r="Z203" s="2038"/>
      <c r="AA203" s="2039"/>
      <c r="AB203" s="2039"/>
      <c r="AC203" s="2040"/>
      <c r="AD203" s="2040"/>
      <c r="AE203" s="2041"/>
      <c r="AF203" s="2555"/>
      <c r="AG203" s="2551"/>
      <c r="AH203" s="2551"/>
      <c r="AI203" s="2555"/>
      <c r="AJ203" s="2551"/>
      <c r="AK203" s="2551"/>
      <c r="AL203" s="1989"/>
      <c r="AM203" s="1826"/>
      <c r="AN203" s="1826"/>
      <c r="AO203" s="1826"/>
      <c r="AP203" s="1826"/>
      <c r="AQ203" s="1826"/>
      <c r="AR203" s="1826"/>
      <c r="AS203" s="1826"/>
      <c r="AT203" s="1826"/>
      <c r="AU203" s="1826"/>
      <c r="AV203" s="1826"/>
      <c r="AW203" s="1826"/>
      <c r="AX203" s="1826"/>
      <c r="AY203" s="1826"/>
      <c r="AZ203" s="1826"/>
      <c r="BA203" s="1826"/>
      <c r="BB203" s="1826"/>
      <c r="BC203" s="1826"/>
      <c r="BD203" s="1826"/>
      <c r="BE203" s="1826"/>
      <c r="BF203" s="1826"/>
      <c r="BG203" s="1639"/>
    </row>
    <row customHeight="1" ht="0.75">
      <c r="A204" s="1170" t="s">
        <v>1219</v>
      </c>
      <c r="B204" s="1170"/>
      <c r="C204" s="1170"/>
      <c r="D204" s="1164"/>
      <c r="E204" s="1174"/>
      <c r="F204" s="2553"/>
      <c r="G204" s="2532"/>
      <c r="H204" s="2557"/>
      <c r="I204" s="2558"/>
      <c r="J204" s="2559"/>
      <c r="K204" s="2559"/>
      <c r="L204" s="2551"/>
      <c r="M204" s="2285"/>
      <c r="N204" s="2560"/>
      <c r="O204" s="2561"/>
      <c r="P204" s="2606"/>
      <c r="Q204" s="2556"/>
      <c r="R204" s="2556"/>
      <c r="S204" s="2556"/>
      <c r="T204" s="2556"/>
      <c r="U204" s="2556"/>
      <c r="V204" s="2556"/>
      <c r="W204" s="2556"/>
      <c r="X204" s="2556"/>
      <c r="Y204" s="2556"/>
      <c r="Z204" s="2042"/>
      <c r="AA204" s="2043"/>
      <c r="AB204" s="2044"/>
      <c r="AC204" s="2045"/>
      <c r="AD204" s="2044"/>
      <c r="AE204" s="2045"/>
      <c r="AF204" s="2555"/>
      <c r="AG204" s="2551"/>
      <c r="AH204" s="2551"/>
      <c r="AI204" s="2555"/>
      <c r="AJ204" s="2551"/>
      <c r="AK204" s="2551"/>
      <c r="AL204" s="1989"/>
      <c r="AM204" s="1826"/>
      <c r="AN204" s="1826"/>
      <c r="AO204" s="1826"/>
      <c r="AP204" s="1826"/>
      <c r="AQ204" s="1826"/>
      <c r="AR204" s="1826"/>
      <c r="AS204" s="1826"/>
      <c r="AT204" s="1826"/>
      <c r="AU204" s="1826"/>
      <c r="AV204" s="1826"/>
      <c r="AW204" s="1826"/>
      <c r="AX204" s="1826"/>
      <c r="AY204" s="1826"/>
      <c r="AZ204" s="1826"/>
      <c r="BA204" s="1826"/>
      <c r="BB204" s="1826"/>
      <c r="BC204" s="1826"/>
      <c r="BD204" s="1826"/>
      <c r="BE204" s="1826"/>
      <c r="BF204" s="1826"/>
      <c r="BG204" s="1639"/>
    </row>
    <row customHeight="1" ht="0.75">
      <c r="A205" s="1170" t="s">
        <v>1219</v>
      </c>
      <c r="B205" s="1170"/>
      <c r="C205" s="1170"/>
      <c r="D205" s="1164"/>
      <c r="E205" s="1174"/>
      <c r="F205" s="2553"/>
      <c r="G205" s="2532"/>
      <c r="H205" s="2557"/>
      <c r="I205" s="2558"/>
      <c r="J205" s="2559"/>
      <c r="K205" s="2559"/>
      <c r="L205" s="2551"/>
      <c r="M205" s="2285"/>
      <c r="N205" s="2560"/>
      <c r="O205" s="2561"/>
      <c r="P205" s="2607"/>
      <c r="Q205" s="2556"/>
      <c r="R205" s="2556"/>
      <c r="S205" s="2556"/>
      <c r="T205" s="2556"/>
      <c r="U205" s="2556"/>
      <c r="V205" s="2556"/>
      <c r="W205" s="2556"/>
      <c r="X205" s="2556"/>
      <c r="Y205" s="2556"/>
      <c r="Z205" s="2038"/>
      <c r="AA205" s="2039"/>
      <c r="AB205" s="2046"/>
      <c r="AC205" s="2040"/>
      <c r="AD205" s="2040"/>
      <c r="AE205" s="2047"/>
      <c r="AF205" s="2555"/>
      <c r="AG205" s="2551"/>
      <c r="AH205" s="2551"/>
      <c r="AI205" s="2555"/>
      <c r="AJ205" s="2551"/>
      <c r="AK205" s="2551"/>
      <c r="AL205" s="1989"/>
      <c r="AM205" s="1826"/>
      <c r="AN205" s="1826"/>
      <c r="AO205" s="1826"/>
      <c r="AP205" s="1826"/>
      <c r="AQ205" s="1826"/>
      <c r="AR205" s="1826"/>
      <c r="AS205" s="1826"/>
      <c r="AT205" s="1826"/>
      <c r="AU205" s="1826"/>
      <c r="AV205" s="1826"/>
      <c r="AW205" s="1826"/>
      <c r="AX205" s="1826"/>
      <c r="AY205" s="1826"/>
      <c r="AZ205" s="1826"/>
      <c r="BA205" s="1826"/>
      <c r="BB205" s="1826"/>
      <c r="BC205" s="1826"/>
      <c r="BD205" s="1826"/>
      <c r="BE205" s="1826"/>
      <c r="BF205" s="1826"/>
      <c r="BG205" s="1639"/>
    </row>
    <row customHeight="1" ht="0.75">
      <c r="A206" s="1170" t="s">
        <v>1219</v>
      </c>
      <c r="B206" s="1170"/>
      <c r="C206" s="1170"/>
      <c r="D206" s="1164"/>
      <c r="E206" s="1174"/>
      <c r="F206" s="2553"/>
      <c r="G206" s="2532"/>
      <c r="H206" s="2557"/>
      <c r="I206" s="2558"/>
      <c r="J206" s="2559"/>
      <c r="K206" s="2559"/>
      <c r="L206" s="2551"/>
      <c r="M206" s="2285"/>
      <c r="N206" s="2039"/>
      <c r="O206" s="2039"/>
      <c r="P206" s="2046"/>
      <c r="Q206" s="2039"/>
      <c r="R206" s="2039"/>
      <c r="S206" s="2039"/>
      <c r="T206" s="2039"/>
      <c r="U206" s="2039"/>
      <c r="V206" s="2039"/>
      <c r="W206" s="2039"/>
      <c r="X206" s="2039"/>
      <c r="Y206" s="2039"/>
      <c r="Z206" s="2039"/>
      <c r="AA206" s="2039"/>
      <c r="AB206" s="2039"/>
      <c r="AC206" s="2039"/>
      <c r="AD206" s="2039"/>
      <c r="AE206" s="2048"/>
      <c r="AF206" s="2555"/>
      <c r="AG206" s="2551"/>
      <c r="AH206" s="2551"/>
      <c r="AI206" s="2555"/>
      <c r="AJ206" s="2551"/>
      <c r="AK206" s="2551"/>
      <c r="AL206" s="1989"/>
      <c r="AM206" s="1826"/>
      <c r="AN206" s="1826"/>
      <c r="AO206" s="1826"/>
      <c r="AP206" s="1826"/>
      <c r="AQ206" s="1826"/>
      <c r="AR206" s="1826"/>
      <c r="AS206" s="1826"/>
      <c r="AT206" s="1826"/>
      <c r="AU206" s="1826"/>
      <c r="AV206" s="1826"/>
      <c r="AW206" s="1826"/>
      <c r="AX206" s="1826"/>
      <c r="AY206" s="1826"/>
      <c r="AZ206" s="1826"/>
      <c r="BA206" s="1826"/>
      <c r="BB206" s="1826"/>
      <c r="BC206" s="1826"/>
      <c r="BD206" s="1826"/>
      <c r="BE206" s="1826"/>
      <c r="BF206" s="1826"/>
      <c r="BG206" s="1639"/>
    </row>
    <row customHeight="1" ht="12">
      <c r="A207" s="1170" t="s">
        <v>1219</v>
      </c>
      <c r="B207" s="1170"/>
      <c r="C207" s="1170"/>
      <c r="D207" s="1164"/>
      <c r="E207" s="1174"/>
      <c r="F207" s="2554"/>
      <c r="G207" s="1194"/>
      <c r="H207" s="1194"/>
      <c r="I207" s="2552" t="s">
        <v>1300</v>
      </c>
      <c r="J207" s="2552"/>
      <c r="K207" s="2552"/>
      <c r="L207" s="1177"/>
      <c r="M207" s="1177"/>
      <c r="N207" s="1178"/>
      <c r="O207" s="1178"/>
      <c r="P207" s="1178"/>
      <c r="Q207" s="1178"/>
      <c r="R207" s="1178"/>
      <c r="S207" s="1178"/>
      <c r="T207" s="1178"/>
      <c r="U207" s="1178"/>
      <c r="V207" s="1178"/>
      <c r="W207" s="1178"/>
      <c r="X207" s="1178"/>
      <c r="Y207" s="1178"/>
      <c r="Z207" s="1178"/>
      <c r="AA207" s="1178"/>
      <c r="AB207" s="1178"/>
      <c r="AC207" s="1178"/>
      <c r="AD207" s="1178"/>
      <c r="AE207" s="1178"/>
      <c r="AF207" s="1178"/>
      <c r="AG207" s="1177"/>
      <c r="AH207" s="1177"/>
      <c r="AI207" s="1178"/>
      <c r="AJ207" s="1177"/>
      <c r="AK207" s="1178"/>
      <c r="AL207" s="1989"/>
      <c r="AM207" s="1826"/>
      <c r="AN207" s="1826"/>
      <c r="AO207" s="1826"/>
      <c r="AP207" s="1826"/>
      <c r="AQ207" s="1826"/>
      <c r="AR207" s="1826"/>
      <c r="AS207" s="1826"/>
      <c r="AT207" s="1826"/>
      <c r="AU207" s="1826"/>
      <c r="AV207" s="1826"/>
      <c r="AW207" s="1826"/>
      <c r="AX207" s="1826"/>
      <c r="AY207" s="1826"/>
      <c r="AZ207" s="1826"/>
      <c r="BA207" s="1826"/>
      <c r="BB207" s="1826"/>
      <c r="BC207" s="1826"/>
      <c r="BD207" s="1826"/>
      <c r="BE207" s="1826"/>
      <c r="BF207" s="1826"/>
      <c r="BG207" s="1639"/>
    </row>
    <row customHeight="1" ht="0.75">
      <c r="A208" s="1170" t="s">
        <v>1219</v>
      </c>
      <c r="B208" s="1170"/>
      <c r="C208" s="1170"/>
      <c r="D208" s="1164"/>
      <c r="E208" s="1174"/>
      <c r="F208" s="2553">
        <v>2030</v>
      </c>
      <c r="G208" s="2532"/>
      <c r="H208" s="2557" t="s">
        <v>514</v>
      </c>
      <c r="I208" s="2558"/>
      <c r="J208" s="2559"/>
      <c r="K208" s="2559"/>
      <c r="L208" s="2551"/>
      <c r="M208" s="2285"/>
      <c r="N208" s="2037"/>
      <c r="O208" s="2036"/>
      <c r="P208" s="2037"/>
      <c r="Q208" s="2037"/>
      <c r="R208" s="2037"/>
      <c r="S208" s="2037"/>
      <c r="T208" s="2037"/>
      <c r="U208" s="2037"/>
      <c r="V208" s="2037"/>
      <c r="W208" s="2037"/>
      <c r="X208" s="2037"/>
      <c r="Y208" s="2037"/>
      <c r="Z208" s="2037"/>
      <c r="AA208" s="2037"/>
      <c r="AB208" s="2037"/>
      <c r="AC208" s="2037"/>
      <c r="AD208" s="2037"/>
      <c r="AE208" s="2037"/>
      <c r="AF208" s="2555"/>
      <c r="AG208" s="2551"/>
      <c r="AH208" s="2551"/>
      <c r="AI208" s="2555"/>
      <c r="AJ208" s="2551"/>
      <c r="AK208" s="2551"/>
      <c r="AL208" s="1989"/>
      <c r="AM208" s="1826"/>
      <c r="AN208" s="1826"/>
      <c r="AO208" s="1826"/>
      <c r="AP208" s="1826"/>
      <c r="AQ208" s="1826"/>
      <c r="AR208" s="1826"/>
      <c r="AS208" s="1826"/>
      <c r="AT208" s="1826"/>
      <c r="AU208" s="1826"/>
      <c r="AV208" s="1826"/>
      <c r="AW208" s="1826"/>
      <c r="AX208" s="1826"/>
      <c r="AY208" s="1826"/>
      <c r="AZ208" s="1826"/>
      <c r="BA208" s="1826"/>
      <c r="BB208" s="1826"/>
      <c r="BC208" s="1826"/>
      <c r="BD208" s="1826"/>
      <c r="BE208" s="1826"/>
      <c r="BF208" s="1826"/>
      <c r="BG208" s="1639"/>
    </row>
    <row customHeight="1" ht="0.75">
      <c r="A209" s="1170" t="s">
        <v>1219</v>
      </c>
      <c r="B209" s="1170"/>
      <c r="C209" s="1170"/>
      <c r="D209" s="1164"/>
      <c r="E209" s="1174"/>
      <c r="F209" s="2553"/>
      <c r="G209" s="2532"/>
      <c r="H209" s="2557"/>
      <c r="I209" s="2558"/>
      <c r="J209" s="2559"/>
      <c r="K209" s="2559"/>
      <c r="L209" s="2551"/>
      <c r="M209" s="2285"/>
      <c r="N209" s="2560"/>
      <c r="O209" s="2561"/>
      <c r="P209" s="2605"/>
      <c r="Q209" s="2556"/>
      <c r="R209" s="2556"/>
      <c r="S209" s="2556"/>
      <c r="T209" s="2556"/>
      <c r="U209" s="2556"/>
      <c r="V209" s="2556"/>
      <c r="W209" s="2556"/>
      <c r="X209" s="2556"/>
      <c r="Y209" s="2556"/>
      <c r="Z209" s="2038"/>
      <c r="AA209" s="2039"/>
      <c r="AB209" s="2039"/>
      <c r="AC209" s="2040"/>
      <c r="AD209" s="2040"/>
      <c r="AE209" s="2041"/>
      <c r="AF209" s="2555"/>
      <c r="AG209" s="2551"/>
      <c r="AH209" s="2551"/>
      <c r="AI209" s="2555"/>
      <c r="AJ209" s="2551"/>
      <c r="AK209" s="2551"/>
      <c r="AL209" s="1989"/>
      <c r="AM209" s="1826"/>
      <c r="AN209" s="1826"/>
      <c r="AO209" s="1826"/>
      <c r="AP209" s="1826"/>
      <c r="AQ209" s="1826"/>
      <c r="AR209" s="1826"/>
      <c r="AS209" s="1826"/>
      <c r="AT209" s="1826"/>
      <c r="AU209" s="1826"/>
      <c r="AV209" s="1826"/>
      <c r="AW209" s="1826"/>
      <c r="AX209" s="1826"/>
      <c r="AY209" s="1826"/>
      <c r="AZ209" s="1826"/>
      <c r="BA209" s="1826"/>
      <c r="BB209" s="1826"/>
      <c r="BC209" s="1826"/>
      <c r="BD209" s="1826"/>
      <c r="BE209" s="1826"/>
      <c r="BF209" s="1826"/>
      <c r="BG209" s="1639"/>
    </row>
    <row customHeight="1" ht="0.75">
      <c r="A210" s="1170" t="s">
        <v>1219</v>
      </c>
      <c r="B210" s="1170"/>
      <c r="C210" s="1170"/>
      <c r="D210" s="1164"/>
      <c r="E210" s="1174"/>
      <c r="F210" s="2553"/>
      <c r="G210" s="2532"/>
      <c r="H210" s="2557"/>
      <c r="I210" s="2558"/>
      <c r="J210" s="2559"/>
      <c r="K210" s="2559"/>
      <c r="L210" s="2551"/>
      <c r="M210" s="2285"/>
      <c r="N210" s="2560"/>
      <c r="O210" s="2561"/>
      <c r="P210" s="2606"/>
      <c r="Q210" s="2556"/>
      <c r="R210" s="2556"/>
      <c r="S210" s="2556"/>
      <c r="T210" s="2556"/>
      <c r="U210" s="2556"/>
      <c r="V210" s="2556"/>
      <c r="W210" s="2556"/>
      <c r="X210" s="2556"/>
      <c r="Y210" s="2556"/>
      <c r="Z210" s="2042"/>
      <c r="AA210" s="2043"/>
      <c r="AB210" s="2044"/>
      <c r="AC210" s="2045"/>
      <c r="AD210" s="2044"/>
      <c r="AE210" s="2045"/>
      <c r="AF210" s="2555"/>
      <c r="AG210" s="2551"/>
      <c r="AH210" s="2551"/>
      <c r="AI210" s="2555"/>
      <c r="AJ210" s="2551"/>
      <c r="AK210" s="2551"/>
      <c r="AL210" s="1989"/>
      <c r="AM210" s="1826"/>
      <c r="AN210" s="1826"/>
      <c r="AO210" s="1826"/>
      <c r="AP210" s="1826"/>
      <c r="AQ210" s="1826"/>
      <c r="AR210" s="1826"/>
      <c r="AS210" s="1826"/>
      <c r="AT210" s="1826"/>
      <c r="AU210" s="1826"/>
      <c r="AV210" s="1826"/>
      <c r="AW210" s="1826"/>
      <c r="AX210" s="1826"/>
      <c r="AY210" s="1826"/>
      <c r="AZ210" s="1826"/>
      <c r="BA210" s="1826"/>
      <c r="BB210" s="1826"/>
      <c r="BC210" s="1826"/>
      <c r="BD210" s="1826"/>
      <c r="BE210" s="1826"/>
      <c r="BF210" s="1826"/>
      <c r="BG210" s="1639"/>
    </row>
    <row customHeight="1" ht="0.75">
      <c r="A211" s="1170" t="s">
        <v>1219</v>
      </c>
      <c r="B211" s="1170"/>
      <c r="C211" s="1170"/>
      <c r="D211" s="1164"/>
      <c r="E211" s="1174"/>
      <c r="F211" s="2553"/>
      <c r="G211" s="2532"/>
      <c r="H211" s="2557"/>
      <c r="I211" s="2558"/>
      <c r="J211" s="2559"/>
      <c r="K211" s="2559"/>
      <c r="L211" s="2551"/>
      <c r="M211" s="2285"/>
      <c r="N211" s="2560"/>
      <c r="O211" s="2561"/>
      <c r="P211" s="2607"/>
      <c r="Q211" s="2556"/>
      <c r="R211" s="2556"/>
      <c r="S211" s="2556"/>
      <c r="T211" s="2556"/>
      <c r="U211" s="2556"/>
      <c r="V211" s="2556"/>
      <c r="W211" s="2556"/>
      <c r="X211" s="2556"/>
      <c r="Y211" s="2556"/>
      <c r="Z211" s="2038"/>
      <c r="AA211" s="2039"/>
      <c r="AB211" s="2046"/>
      <c r="AC211" s="2040"/>
      <c r="AD211" s="2040"/>
      <c r="AE211" s="2047"/>
      <c r="AF211" s="2555"/>
      <c r="AG211" s="2551"/>
      <c r="AH211" s="2551"/>
      <c r="AI211" s="2555"/>
      <c r="AJ211" s="2551"/>
      <c r="AK211" s="2551"/>
      <c r="AL211" s="1989"/>
      <c r="AM211" s="1826"/>
      <c r="AN211" s="1826"/>
      <c r="AO211" s="1826"/>
      <c r="AP211" s="1826"/>
      <c r="AQ211" s="1826"/>
      <c r="AR211" s="1826"/>
      <c r="AS211" s="1826"/>
      <c r="AT211" s="1826"/>
      <c r="AU211" s="1826"/>
      <c r="AV211" s="1826"/>
      <c r="AW211" s="1826"/>
      <c r="AX211" s="1826"/>
      <c r="AY211" s="1826"/>
      <c r="AZ211" s="1826"/>
      <c r="BA211" s="1826"/>
      <c r="BB211" s="1826"/>
      <c r="BC211" s="1826"/>
      <c r="BD211" s="1826"/>
      <c r="BE211" s="1826"/>
      <c r="BF211" s="1826"/>
      <c r="BG211" s="1639"/>
    </row>
    <row customHeight="1" ht="0.75">
      <c r="A212" s="1170" t="s">
        <v>1219</v>
      </c>
      <c r="B212" s="1170"/>
      <c r="C212" s="1170"/>
      <c r="D212" s="1164"/>
      <c r="E212" s="1174"/>
      <c r="F212" s="2553"/>
      <c r="G212" s="2532"/>
      <c r="H212" s="2557"/>
      <c r="I212" s="2558"/>
      <c r="J212" s="2559"/>
      <c r="K212" s="2559"/>
      <c r="L212" s="2551"/>
      <c r="M212" s="2285"/>
      <c r="N212" s="2039"/>
      <c r="O212" s="2039"/>
      <c r="P212" s="2046"/>
      <c r="Q212" s="2039"/>
      <c r="R212" s="2039"/>
      <c r="S212" s="2039"/>
      <c r="T212" s="2039"/>
      <c r="U212" s="2039"/>
      <c r="V212" s="2039"/>
      <c r="W212" s="2039"/>
      <c r="X212" s="2039"/>
      <c r="Y212" s="2039"/>
      <c r="Z212" s="2039"/>
      <c r="AA212" s="2039"/>
      <c r="AB212" s="2039"/>
      <c r="AC212" s="2039"/>
      <c r="AD212" s="2039"/>
      <c r="AE212" s="2048"/>
      <c r="AF212" s="2555"/>
      <c r="AG212" s="2551"/>
      <c r="AH212" s="2551"/>
      <c r="AI212" s="2555"/>
      <c r="AJ212" s="2551"/>
      <c r="AK212" s="2551"/>
      <c r="AL212" s="1989"/>
      <c r="AM212" s="1826"/>
      <c r="AN212" s="1826"/>
      <c r="AO212" s="1826"/>
      <c r="AP212" s="1826"/>
      <c r="AQ212" s="1826"/>
      <c r="AR212" s="1826"/>
      <c r="AS212" s="1826"/>
      <c r="AT212" s="1826"/>
      <c r="AU212" s="1826"/>
      <c r="AV212" s="1826"/>
      <c r="AW212" s="1826"/>
      <c r="AX212" s="1826"/>
      <c r="AY212" s="1826"/>
      <c r="AZ212" s="1826"/>
      <c r="BA212" s="1826"/>
      <c r="BB212" s="1826"/>
      <c r="BC212" s="1826"/>
      <c r="BD212" s="1826"/>
      <c r="BE212" s="1826"/>
      <c r="BF212" s="1826"/>
      <c r="BG212" s="1639"/>
    </row>
    <row customHeight="1" ht="12">
      <c r="A213" s="1170" t="s">
        <v>1219</v>
      </c>
      <c r="B213" s="1170"/>
      <c r="C213" s="1170"/>
      <c r="D213" s="1164"/>
      <c r="E213" s="1174"/>
      <c r="F213" s="2554"/>
      <c r="G213" s="1194"/>
      <c r="H213" s="1194"/>
      <c r="I213" s="2552" t="s">
        <v>1300</v>
      </c>
      <c r="J213" s="2552"/>
      <c r="K213" s="2552"/>
      <c r="L213" s="1177"/>
      <c r="M213" s="1177"/>
      <c r="N213" s="1178"/>
      <c r="O213" s="1178"/>
      <c r="P213" s="1178"/>
      <c r="Q213" s="1178"/>
      <c r="R213" s="1178"/>
      <c r="S213" s="1178"/>
      <c r="T213" s="1178"/>
      <c r="U213" s="1178"/>
      <c r="V213" s="1178"/>
      <c r="W213" s="1178"/>
      <c r="X213" s="1178"/>
      <c r="Y213" s="1178"/>
      <c r="Z213" s="1178"/>
      <c r="AA213" s="1178"/>
      <c r="AB213" s="1178"/>
      <c r="AC213" s="1178"/>
      <c r="AD213" s="1178"/>
      <c r="AE213" s="1178"/>
      <c r="AF213" s="1178"/>
      <c r="AG213" s="1177"/>
      <c r="AH213" s="1177"/>
      <c r="AI213" s="1178"/>
      <c r="AJ213" s="1177"/>
      <c r="AK213" s="1178"/>
      <c r="AL213" s="1989"/>
      <c r="AM213" s="1826"/>
      <c r="AN213" s="1826"/>
      <c r="AO213" s="1826"/>
      <c r="AP213" s="1826"/>
      <c r="AQ213" s="1826"/>
      <c r="AR213" s="1826"/>
      <c r="AS213" s="1826"/>
      <c r="AT213" s="1826"/>
      <c r="AU213" s="1826"/>
      <c r="AV213" s="1826"/>
      <c r="AW213" s="1826"/>
      <c r="AX213" s="1826"/>
      <c r="AY213" s="1826"/>
      <c r="AZ213" s="1826"/>
      <c r="BA213" s="1826"/>
      <c r="BB213" s="1826"/>
      <c r="BC213" s="1826"/>
      <c r="BD213" s="1826"/>
      <c r="BE213" s="1826"/>
      <c r="BF213" s="1826"/>
      <c r="BG213" s="1639"/>
    </row>
    <row customHeight="1" ht="0.75">
      <c r="A214" s="1170" t="s">
        <v>1219</v>
      </c>
      <c r="B214" s="1170"/>
      <c r="C214" s="1170"/>
      <c r="D214" s="1164"/>
      <c r="E214" s="1174"/>
      <c r="F214" s="2553">
        <v>2031</v>
      </c>
      <c r="G214" s="2532"/>
      <c r="H214" s="2557" t="s">
        <v>514</v>
      </c>
      <c r="I214" s="2558"/>
      <c r="J214" s="2559"/>
      <c r="K214" s="2559"/>
      <c r="L214" s="2551"/>
      <c r="M214" s="2285"/>
      <c r="N214" s="2037"/>
      <c r="O214" s="2036"/>
      <c r="P214" s="2037"/>
      <c r="Q214" s="2037"/>
      <c r="R214" s="2037"/>
      <c r="S214" s="2037"/>
      <c r="T214" s="2037"/>
      <c r="U214" s="2037"/>
      <c r="V214" s="2037"/>
      <c r="W214" s="2037"/>
      <c r="X214" s="2037"/>
      <c r="Y214" s="2037"/>
      <c r="Z214" s="2037"/>
      <c r="AA214" s="2037"/>
      <c r="AB214" s="2037"/>
      <c r="AC214" s="2037"/>
      <c r="AD214" s="2037"/>
      <c r="AE214" s="2037"/>
      <c r="AF214" s="2555"/>
      <c r="AG214" s="2551"/>
      <c r="AH214" s="2551"/>
      <c r="AI214" s="2555"/>
      <c r="AJ214" s="2551"/>
      <c r="AK214" s="2551"/>
      <c r="AL214" s="1989"/>
      <c r="AM214" s="1826"/>
      <c r="AN214" s="1826"/>
      <c r="AO214" s="1826"/>
      <c r="AP214" s="1826"/>
      <c r="AQ214" s="1826"/>
      <c r="AR214" s="1826"/>
      <c r="AS214" s="1826"/>
      <c r="AT214" s="1826"/>
      <c r="AU214" s="1826"/>
      <c r="AV214" s="1826"/>
      <c r="AW214" s="1826"/>
      <c r="AX214" s="1826"/>
      <c r="AY214" s="1826"/>
      <c r="AZ214" s="1826"/>
      <c r="BA214" s="1826"/>
      <c r="BB214" s="1826"/>
      <c r="BC214" s="1826"/>
      <c r="BD214" s="1826"/>
      <c r="BE214" s="1826"/>
      <c r="BF214" s="1826"/>
      <c r="BG214" s="1639"/>
    </row>
    <row customHeight="1" ht="0.75">
      <c r="A215" s="1170" t="s">
        <v>1219</v>
      </c>
      <c r="B215" s="1170"/>
      <c r="C215" s="1170"/>
      <c r="D215" s="1164"/>
      <c r="E215" s="1174"/>
      <c r="F215" s="2553"/>
      <c r="G215" s="2532"/>
      <c r="H215" s="2557"/>
      <c r="I215" s="2558"/>
      <c r="J215" s="2559"/>
      <c r="K215" s="2559"/>
      <c r="L215" s="2551"/>
      <c r="M215" s="2285"/>
      <c r="N215" s="2560"/>
      <c r="O215" s="2561"/>
      <c r="P215" s="2605"/>
      <c r="Q215" s="2556"/>
      <c r="R215" s="2556"/>
      <c r="S215" s="2556"/>
      <c r="T215" s="2556"/>
      <c r="U215" s="2556"/>
      <c r="V215" s="2556"/>
      <c r="W215" s="2556"/>
      <c r="X215" s="2556"/>
      <c r="Y215" s="2556"/>
      <c r="Z215" s="2038"/>
      <c r="AA215" s="2039"/>
      <c r="AB215" s="2039"/>
      <c r="AC215" s="2040"/>
      <c r="AD215" s="2040"/>
      <c r="AE215" s="2041"/>
      <c r="AF215" s="2555"/>
      <c r="AG215" s="2551"/>
      <c r="AH215" s="2551"/>
      <c r="AI215" s="2555"/>
      <c r="AJ215" s="2551"/>
      <c r="AK215" s="2551"/>
      <c r="AL215" s="1989"/>
      <c r="AM215" s="1826"/>
      <c r="AN215" s="1826"/>
      <c r="AO215" s="1826"/>
      <c r="AP215" s="1826"/>
      <c r="AQ215" s="1826"/>
      <c r="AR215" s="1826"/>
      <c r="AS215" s="1826"/>
      <c r="AT215" s="1826"/>
      <c r="AU215" s="1826"/>
      <c r="AV215" s="1826"/>
      <c r="AW215" s="1826"/>
      <c r="AX215" s="1826"/>
      <c r="AY215" s="1826"/>
      <c r="AZ215" s="1826"/>
      <c r="BA215" s="1826"/>
      <c r="BB215" s="1826"/>
      <c r="BC215" s="1826"/>
      <c r="BD215" s="1826"/>
      <c r="BE215" s="1826"/>
      <c r="BF215" s="1826"/>
      <c r="BG215" s="1639"/>
    </row>
    <row customHeight="1" ht="0.75">
      <c r="A216" s="1170" t="s">
        <v>1219</v>
      </c>
      <c r="B216" s="1170"/>
      <c r="C216" s="1170"/>
      <c r="D216" s="1164"/>
      <c r="E216" s="1174"/>
      <c r="F216" s="2553"/>
      <c r="G216" s="2532"/>
      <c r="H216" s="2557"/>
      <c r="I216" s="2558"/>
      <c r="J216" s="2559"/>
      <c r="K216" s="2559"/>
      <c r="L216" s="2551"/>
      <c r="M216" s="2285"/>
      <c r="N216" s="2560"/>
      <c r="O216" s="2561"/>
      <c r="P216" s="2606"/>
      <c r="Q216" s="2556"/>
      <c r="R216" s="2556"/>
      <c r="S216" s="2556"/>
      <c r="T216" s="2556"/>
      <c r="U216" s="2556"/>
      <c r="V216" s="2556"/>
      <c r="W216" s="2556"/>
      <c r="X216" s="2556"/>
      <c r="Y216" s="2556"/>
      <c r="Z216" s="2042"/>
      <c r="AA216" s="2043"/>
      <c r="AB216" s="2044"/>
      <c r="AC216" s="2045"/>
      <c r="AD216" s="2044"/>
      <c r="AE216" s="2045"/>
      <c r="AF216" s="2555"/>
      <c r="AG216" s="2551"/>
      <c r="AH216" s="2551"/>
      <c r="AI216" s="2555"/>
      <c r="AJ216" s="2551"/>
      <c r="AK216" s="2551"/>
      <c r="AL216" s="1989"/>
      <c r="AM216" s="1826"/>
      <c r="AN216" s="1826"/>
      <c r="AO216" s="1826"/>
      <c r="AP216" s="1826"/>
      <c r="AQ216" s="1826"/>
      <c r="AR216" s="1826"/>
      <c r="AS216" s="1826"/>
      <c r="AT216" s="1826"/>
      <c r="AU216" s="1826"/>
      <c r="AV216" s="1826"/>
      <c r="AW216" s="1826"/>
      <c r="AX216" s="1826"/>
      <c r="AY216" s="1826"/>
      <c r="AZ216" s="1826"/>
      <c r="BA216" s="1826"/>
      <c r="BB216" s="1826"/>
      <c r="BC216" s="1826"/>
      <c r="BD216" s="1826"/>
      <c r="BE216" s="1826"/>
      <c r="BF216" s="1826"/>
      <c r="BG216" s="1639"/>
    </row>
    <row customHeight="1" ht="0.75">
      <c r="A217" s="1170" t="s">
        <v>1219</v>
      </c>
      <c r="B217" s="1170"/>
      <c r="C217" s="1170"/>
      <c r="D217" s="1164"/>
      <c r="E217" s="1174"/>
      <c r="F217" s="2553"/>
      <c r="G217" s="2532"/>
      <c r="H217" s="2557"/>
      <c r="I217" s="2558"/>
      <c r="J217" s="2559"/>
      <c r="K217" s="2559"/>
      <c r="L217" s="2551"/>
      <c r="M217" s="2285"/>
      <c r="N217" s="2560"/>
      <c r="O217" s="2561"/>
      <c r="P217" s="2607"/>
      <c r="Q217" s="2556"/>
      <c r="R217" s="2556"/>
      <c r="S217" s="2556"/>
      <c r="T217" s="2556"/>
      <c r="U217" s="2556"/>
      <c r="V217" s="2556"/>
      <c r="W217" s="2556"/>
      <c r="X217" s="2556"/>
      <c r="Y217" s="2556"/>
      <c r="Z217" s="2038"/>
      <c r="AA217" s="2039"/>
      <c r="AB217" s="2046"/>
      <c r="AC217" s="2040"/>
      <c r="AD217" s="2040"/>
      <c r="AE217" s="2047"/>
      <c r="AF217" s="2555"/>
      <c r="AG217" s="2551"/>
      <c r="AH217" s="2551"/>
      <c r="AI217" s="2555"/>
      <c r="AJ217" s="2551"/>
      <c r="AK217" s="2551"/>
      <c r="AL217" s="1989"/>
      <c r="AM217" s="1826"/>
      <c r="AN217" s="1826"/>
      <c r="AO217" s="1826"/>
      <c r="AP217" s="1826"/>
      <c r="AQ217" s="1826"/>
      <c r="AR217" s="1826"/>
      <c r="AS217" s="1826"/>
      <c r="AT217" s="1826"/>
      <c r="AU217" s="1826"/>
      <c r="AV217" s="1826"/>
      <c r="AW217" s="1826"/>
      <c r="AX217" s="1826"/>
      <c r="AY217" s="1826"/>
      <c r="AZ217" s="1826"/>
      <c r="BA217" s="1826"/>
      <c r="BB217" s="1826"/>
      <c r="BC217" s="1826"/>
      <c r="BD217" s="1826"/>
      <c r="BE217" s="1826"/>
      <c r="BF217" s="1826"/>
      <c r="BG217" s="1639"/>
    </row>
    <row customHeight="1" ht="0.75">
      <c r="A218" s="1170" t="s">
        <v>1219</v>
      </c>
      <c r="B218" s="1170"/>
      <c r="C218" s="1170"/>
      <c r="D218" s="1164"/>
      <c r="E218" s="1174"/>
      <c r="F218" s="2553"/>
      <c r="G218" s="2532"/>
      <c r="H218" s="2557"/>
      <c r="I218" s="2558"/>
      <c r="J218" s="2559"/>
      <c r="K218" s="2559"/>
      <c r="L218" s="2551"/>
      <c r="M218" s="2285"/>
      <c r="N218" s="2039"/>
      <c r="O218" s="2039"/>
      <c r="P218" s="2046"/>
      <c r="Q218" s="2039"/>
      <c r="R218" s="2039"/>
      <c r="S218" s="2039"/>
      <c r="T218" s="2039"/>
      <c r="U218" s="2039"/>
      <c r="V218" s="2039"/>
      <c r="W218" s="2039"/>
      <c r="X218" s="2039"/>
      <c r="Y218" s="2039"/>
      <c r="Z218" s="2039"/>
      <c r="AA218" s="2039"/>
      <c r="AB218" s="2039"/>
      <c r="AC218" s="2039"/>
      <c r="AD218" s="2039"/>
      <c r="AE218" s="2048"/>
      <c r="AF218" s="2555"/>
      <c r="AG218" s="2551"/>
      <c r="AH218" s="2551"/>
      <c r="AI218" s="2555"/>
      <c r="AJ218" s="2551"/>
      <c r="AK218" s="2551"/>
      <c r="AL218" s="1989"/>
      <c r="AM218" s="1826"/>
      <c r="AN218" s="1826"/>
      <c r="AO218" s="1826"/>
      <c r="AP218" s="1826"/>
      <c r="AQ218" s="1826"/>
      <c r="AR218" s="1826"/>
      <c r="AS218" s="1826"/>
      <c r="AT218" s="1826"/>
      <c r="AU218" s="1826"/>
      <c r="AV218" s="1826"/>
      <c r="AW218" s="1826"/>
      <c r="AX218" s="1826"/>
      <c r="AY218" s="1826"/>
      <c r="AZ218" s="1826"/>
      <c r="BA218" s="1826"/>
      <c r="BB218" s="1826"/>
      <c r="BC218" s="1826"/>
      <c r="BD218" s="1826"/>
      <c r="BE218" s="1826"/>
      <c r="BF218" s="1826"/>
      <c r="BG218" s="1639"/>
    </row>
    <row customHeight="1" ht="12">
      <c r="A219" s="1170" t="s">
        <v>1219</v>
      </c>
      <c r="B219" s="1170"/>
      <c r="C219" s="1170"/>
      <c r="D219" s="1164"/>
      <c r="E219" s="1174"/>
      <c r="F219" s="2554"/>
      <c r="G219" s="1194"/>
      <c r="H219" s="1194"/>
      <c r="I219" s="2552" t="s">
        <v>1300</v>
      </c>
      <c r="J219" s="2552"/>
      <c r="K219" s="2552"/>
      <c r="L219" s="1177"/>
      <c r="M219" s="1177"/>
      <c r="N219" s="1178"/>
      <c r="O219" s="1178"/>
      <c r="P219" s="1178"/>
      <c r="Q219" s="1178"/>
      <c r="R219" s="1178"/>
      <c r="S219" s="1178"/>
      <c r="T219" s="1178"/>
      <c r="U219" s="1178"/>
      <c r="V219" s="1178"/>
      <c r="W219" s="1178"/>
      <c r="X219" s="1178"/>
      <c r="Y219" s="1178"/>
      <c r="Z219" s="1178"/>
      <c r="AA219" s="1178"/>
      <c r="AB219" s="1178"/>
      <c r="AC219" s="1178"/>
      <c r="AD219" s="1178"/>
      <c r="AE219" s="1178"/>
      <c r="AF219" s="1178"/>
      <c r="AG219" s="1177"/>
      <c r="AH219" s="1177"/>
      <c r="AI219" s="1178"/>
      <c r="AJ219" s="1177"/>
      <c r="AK219" s="1178"/>
      <c r="AL219" s="1989"/>
      <c r="AM219" s="1826"/>
      <c r="AN219" s="1826"/>
      <c r="AO219" s="1826"/>
      <c r="AP219" s="1826"/>
      <c r="AQ219" s="1826"/>
      <c r="AR219" s="1826"/>
      <c r="AS219" s="1826"/>
      <c r="AT219" s="1826"/>
      <c r="AU219" s="1826"/>
      <c r="AV219" s="1826"/>
      <c r="AW219" s="1826"/>
      <c r="AX219" s="1826"/>
      <c r="AY219" s="1826"/>
      <c r="AZ219" s="1826"/>
      <c r="BA219" s="1826"/>
      <c r="BB219" s="1826"/>
      <c r="BC219" s="1826"/>
      <c r="BD219" s="1826"/>
      <c r="BE219" s="1826"/>
      <c r="BF219" s="1826"/>
      <c r="BG219" s="1639"/>
    </row>
    <row customHeight="1" ht="21">
      <c r="A220" s="1171" t="s">
        <v>1225</v>
      </c>
      <c r="B220" s="1170"/>
      <c r="C220" s="1170"/>
      <c r="D220" s="1164"/>
      <c r="E220" s="1174" t="s">
        <v>22</v>
      </c>
      <c r="F220" s="1126" t="str">
        <f>INDEX(IP_MAIN_LIST_NAME_IP,MATCH(A220,IP_MAIN_LIST_IP_ID,0))&amp;" ("&amp;INDEX(IP_MAIN_START_DATE,MATCH(A220,IP_MAIN_LIST_IP_ID,0))&amp;"-"&amp;INDEX(IP_MAIN_END_DATE,MATCH(A220,IP_MAIN_LIST_IP_ID,0))&amp;")"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220" s="1127"/>
      <c r="H220" s="1127"/>
      <c r="I220" s="1189"/>
      <c r="J220" s="1189"/>
      <c r="K220" s="1190"/>
      <c r="L220" s="1190"/>
      <c r="M220" s="1190"/>
      <c r="N220" s="1191"/>
      <c r="O220" s="1191"/>
      <c r="P220" s="1191"/>
      <c r="Q220" s="1191"/>
      <c r="R220" s="1191"/>
      <c r="S220" s="1191"/>
      <c r="T220" s="1191"/>
      <c r="U220" s="1191"/>
      <c r="V220" s="1191"/>
      <c r="W220" s="1191"/>
      <c r="X220" s="1191"/>
      <c r="Y220" s="1191"/>
      <c r="Z220" s="1191"/>
      <c r="AA220" s="1191"/>
      <c r="AB220" s="1191"/>
      <c r="AC220" s="1191"/>
      <c r="AD220" s="1191"/>
      <c r="AE220" s="1192"/>
      <c r="AF220" s="1190"/>
      <c r="AG220" s="1190"/>
      <c r="AH220" s="1190"/>
      <c r="AI220" s="1190"/>
      <c r="AJ220" s="1190"/>
      <c r="AK220" s="1190"/>
      <c r="AL220" s="1989"/>
      <c r="AM220" s="1826"/>
      <c r="AN220" s="1826"/>
      <c r="AO220" s="1826"/>
      <c r="AP220" s="1826"/>
      <c r="AQ220" s="1826"/>
      <c r="AR220" s="1826"/>
      <c r="AS220" s="1826"/>
      <c r="AT220" s="1826"/>
      <c r="AU220" s="1826"/>
      <c r="AV220" s="1826"/>
      <c r="AW220" s="1826"/>
      <c r="AX220" s="1826"/>
      <c r="AY220" s="1826"/>
      <c r="AZ220" s="1826"/>
      <c r="BA220" s="1826"/>
      <c r="BB220" s="1826"/>
      <c r="BC220" s="1826"/>
      <c r="BD220" s="1826"/>
      <c r="BE220" s="1826"/>
      <c r="BF220" s="1826"/>
      <c r="BG220" s="1639"/>
    </row>
    <row customHeight="1" ht="0.75">
      <c r="A221" s="1170" t="s">
        <v>1225</v>
      </c>
      <c r="B221" s="1170"/>
      <c r="C221" s="1170"/>
      <c r="D221" s="1164"/>
      <c r="E221" s="1174"/>
      <c r="F221" s="2553">
        <v>2021</v>
      </c>
      <c r="G221" s="2532"/>
      <c r="H221" s="2557" t="s">
        <v>514</v>
      </c>
      <c r="I221" s="2558"/>
      <c r="J221" s="2559"/>
      <c r="K221" s="2559"/>
      <c r="L221" s="2551"/>
      <c r="M221" s="2285"/>
      <c r="N221" s="2037"/>
      <c r="O221" s="2036"/>
      <c r="P221" s="2037"/>
      <c r="Q221" s="2037"/>
      <c r="R221" s="2037"/>
      <c r="S221" s="2037"/>
      <c r="T221" s="2037"/>
      <c r="U221" s="2037"/>
      <c r="V221" s="2037"/>
      <c r="W221" s="2037"/>
      <c r="X221" s="2037"/>
      <c r="Y221" s="2037"/>
      <c r="Z221" s="2037"/>
      <c r="AA221" s="2037"/>
      <c r="AB221" s="2037"/>
      <c r="AC221" s="2037"/>
      <c r="AD221" s="2037"/>
      <c r="AE221" s="2037"/>
      <c r="AF221" s="2555"/>
      <c r="AG221" s="2551"/>
      <c r="AH221" s="2551"/>
      <c r="AI221" s="2555"/>
      <c r="AJ221" s="2551"/>
      <c r="AK221" s="2551"/>
      <c r="AL221" s="1989"/>
      <c r="AM221" s="1826"/>
      <c r="AN221" s="1826"/>
      <c r="AO221" s="1826"/>
      <c r="AP221" s="1826"/>
      <c r="AQ221" s="1826"/>
      <c r="AR221" s="1826"/>
      <c r="AS221" s="1826"/>
      <c r="AT221" s="1826"/>
      <c r="AU221" s="1826"/>
      <c r="AV221" s="1826"/>
      <c r="AW221" s="1826"/>
      <c r="AX221" s="1826"/>
      <c r="AY221" s="1826"/>
      <c r="AZ221" s="1826"/>
      <c r="BA221" s="1826"/>
      <c r="BB221" s="1826"/>
      <c r="BC221" s="1826"/>
      <c r="BD221" s="1826"/>
      <c r="BE221" s="1826"/>
      <c r="BF221" s="1826"/>
      <c r="BG221" s="1639"/>
    </row>
    <row customHeight="1" ht="0.75">
      <c r="A222" s="1170" t="s">
        <v>1225</v>
      </c>
      <c r="B222" s="1170"/>
      <c r="C222" s="1170"/>
      <c r="D222" s="1164"/>
      <c r="E222" s="1174"/>
      <c r="F222" s="2553"/>
      <c r="G222" s="2532"/>
      <c r="H222" s="2557"/>
      <c r="I222" s="2558"/>
      <c r="J222" s="2559"/>
      <c r="K222" s="2559"/>
      <c r="L222" s="2551"/>
      <c r="M222" s="2285"/>
      <c r="N222" s="2560"/>
      <c r="O222" s="2561"/>
      <c r="P222" s="2605"/>
      <c r="Q222" s="2556"/>
      <c r="R222" s="2556"/>
      <c r="S222" s="2556"/>
      <c r="T222" s="2556"/>
      <c r="U222" s="2556"/>
      <c r="V222" s="2556"/>
      <c r="W222" s="2556"/>
      <c r="X222" s="2556"/>
      <c r="Y222" s="2556"/>
      <c r="Z222" s="2038"/>
      <c r="AA222" s="2039"/>
      <c r="AB222" s="2039"/>
      <c r="AC222" s="2040"/>
      <c r="AD222" s="2040"/>
      <c r="AE222" s="2041"/>
      <c r="AF222" s="2555"/>
      <c r="AG222" s="2551"/>
      <c r="AH222" s="2551"/>
      <c r="AI222" s="2555"/>
      <c r="AJ222" s="2551"/>
      <c r="AK222" s="2551"/>
      <c r="AL222" s="1989"/>
      <c r="AM222" s="1826"/>
      <c r="AN222" s="1826"/>
      <c r="AO222" s="1826"/>
      <c r="AP222" s="1826"/>
      <c r="AQ222" s="1826"/>
      <c r="AR222" s="1826"/>
      <c r="AS222" s="1826"/>
      <c r="AT222" s="1826"/>
      <c r="AU222" s="1826"/>
      <c r="AV222" s="1826"/>
      <c r="AW222" s="1826"/>
      <c r="AX222" s="1826"/>
      <c r="AY222" s="1826"/>
      <c r="AZ222" s="1826"/>
      <c r="BA222" s="1826"/>
      <c r="BB222" s="1826"/>
      <c r="BC222" s="1826"/>
      <c r="BD222" s="1826"/>
      <c r="BE222" s="1826"/>
      <c r="BF222" s="1826"/>
      <c r="BG222" s="1639"/>
    </row>
    <row customHeight="1" ht="0.75">
      <c r="A223" s="1170" t="s">
        <v>1225</v>
      </c>
      <c r="B223" s="1170"/>
      <c r="C223" s="1170"/>
      <c r="D223" s="1164"/>
      <c r="E223" s="1174"/>
      <c r="F223" s="2553"/>
      <c r="G223" s="2532"/>
      <c r="H223" s="2557"/>
      <c r="I223" s="2558"/>
      <c r="J223" s="2559"/>
      <c r="K223" s="2559"/>
      <c r="L223" s="2551"/>
      <c r="M223" s="2285"/>
      <c r="N223" s="2560"/>
      <c r="O223" s="2561"/>
      <c r="P223" s="2606"/>
      <c r="Q223" s="2556"/>
      <c r="R223" s="2556"/>
      <c r="S223" s="2556"/>
      <c r="T223" s="2556"/>
      <c r="U223" s="2556"/>
      <c r="V223" s="2556"/>
      <c r="W223" s="2556"/>
      <c r="X223" s="2556"/>
      <c r="Y223" s="2556"/>
      <c r="Z223" s="2042"/>
      <c r="AA223" s="2043"/>
      <c r="AB223" s="2044"/>
      <c r="AC223" s="2045"/>
      <c r="AD223" s="2044"/>
      <c r="AE223" s="2045"/>
      <c r="AF223" s="2555"/>
      <c r="AG223" s="2551"/>
      <c r="AH223" s="2551"/>
      <c r="AI223" s="2555"/>
      <c r="AJ223" s="2551"/>
      <c r="AK223" s="2551"/>
      <c r="AL223" s="1989"/>
      <c r="AM223" s="1826"/>
      <c r="AN223" s="1826"/>
      <c r="AO223" s="1826"/>
      <c r="AP223" s="1826"/>
      <c r="AQ223" s="1826"/>
      <c r="AR223" s="1826"/>
      <c r="AS223" s="1826"/>
      <c r="AT223" s="1826"/>
      <c r="AU223" s="1826"/>
      <c r="AV223" s="1826"/>
      <c r="AW223" s="1826"/>
      <c r="AX223" s="1826"/>
      <c r="AY223" s="1826"/>
      <c r="AZ223" s="1826"/>
      <c r="BA223" s="1826"/>
      <c r="BB223" s="1826"/>
      <c r="BC223" s="1826"/>
      <c r="BD223" s="1826"/>
      <c r="BE223" s="1826"/>
      <c r="BF223" s="1826"/>
      <c r="BG223" s="1639"/>
    </row>
    <row customHeight="1" ht="0.75">
      <c r="A224" s="1170" t="s">
        <v>1225</v>
      </c>
      <c r="B224" s="1170"/>
      <c r="C224" s="1170"/>
      <c r="D224" s="1164"/>
      <c r="E224" s="1174"/>
      <c r="F224" s="2553"/>
      <c r="G224" s="2532"/>
      <c r="H224" s="2557"/>
      <c r="I224" s="2558"/>
      <c r="J224" s="2559"/>
      <c r="K224" s="2559"/>
      <c r="L224" s="2551"/>
      <c r="M224" s="2285"/>
      <c r="N224" s="2560"/>
      <c r="O224" s="2561"/>
      <c r="P224" s="2607"/>
      <c r="Q224" s="2556"/>
      <c r="R224" s="2556"/>
      <c r="S224" s="2556"/>
      <c r="T224" s="2556"/>
      <c r="U224" s="2556"/>
      <c r="V224" s="2556"/>
      <c r="W224" s="2556"/>
      <c r="X224" s="2556"/>
      <c r="Y224" s="2556"/>
      <c r="Z224" s="2038"/>
      <c r="AA224" s="2039"/>
      <c r="AB224" s="2046"/>
      <c r="AC224" s="2040"/>
      <c r="AD224" s="2040"/>
      <c r="AE224" s="2047"/>
      <c r="AF224" s="2555"/>
      <c r="AG224" s="2551"/>
      <c r="AH224" s="2551"/>
      <c r="AI224" s="2555"/>
      <c r="AJ224" s="2551"/>
      <c r="AK224" s="2551"/>
      <c r="AL224" s="1989"/>
      <c r="AM224" s="1826"/>
      <c r="AN224" s="1826"/>
      <c r="AO224" s="1826"/>
      <c r="AP224" s="1826"/>
      <c r="AQ224" s="1826"/>
      <c r="AR224" s="1826"/>
      <c r="AS224" s="1826"/>
      <c r="AT224" s="1826"/>
      <c r="AU224" s="1826"/>
      <c r="AV224" s="1826"/>
      <c r="AW224" s="1826"/>
      <c r="AX224" s="1826"/>
      <c r="AY224" s="1826"/>
      <c r="AZ224" s="1826"/>
      <c r="BA224" s="1826"/>
      <c r="BB224" s="1826"/>
      <c r="BC224" s="1826"/>
      <c r="BD224" s="1826"/>
      <c r="BE224" s="1826"/>
      <c r="BF224" s="1826"/>
      <c r="BG224" s="1639"/>
    </row>
    <row customHeight="1" ht="0.75">
      <c r="A225" s="1170" t="s">
        <v>1225</v>
      </c>
      <c r="B225" s="1170"/>
      <c r="C225" s="1170"/>
      <c r="D225" s="1164"/>
      <c r="E225" s="1174"/>
      <c r="F225" s="2553"/>
      <c r="G225" s="2532"/>
      <c r="H225" s="2557"/>
      <c r="I225" s="2558"/>
      <c r="J225" s="2559"/>
      <c r="K225" s="2559"/>
      <c r="L225" s="2551"/>
      <c r="M225" s="2285"/>
      <c r="N225" s="2039"/>
      <c r="O225" s="2039"/>
      <c r="P225" s="2046"/>
      <c r="Q225" s="2039"/>
      <c r="R225" s="2039"/>
      <c r="S225" s="2039"/>
      <c r="T225" s="2039"/>
      <c r="U225" s="2039"/>
      <c r="V225" s="2039"/>
      <c r="W225" s="2039"/>
      <c r="X225" s="2039"/>
      <c r="Y225" s="2039"/>
      <c r="Z225" s="2039"/>
      <c r="AA225" s="2039"/>
      <c r="AB225" s="2039"/>
      <c r="AC225" s="2039"/>
      <c r="AD225" s="2039"/>
      <c r="AE225" s="2048"/>
      <c r="AF225" s="2555"/>
      <c r="AG225" s="2551"/>
      <c r="AH225" s="2551"/>
      <c r="AI225" s="2555"/>
      <c r="AJ225" s="2551"/>
      <c r="AK225" s="2551"/>
      <c r="AL225" s="1989"/>
      <c r="AM225" s="1826"/>
      <c r="AN225" s="1826"/>
      <c r="AO225" s="1826"/>
      <c r="AP225" s="1826"/>
      <c r="AQ225" s="1826"/>
      <c r="AR225" s="1826"/>
      <c r="AS225" s="1826"/>
      <c r="AT225" s="1826"/>
      <c r="AU225" s="1826"/>
      <c r="AV225" s="1826"/>
      <c r="AW225" s="1826"/>
      <c r="AX225" s="1826"/>
      <c r="AY225" s="1826"/>
      <c r="AZ225" s="1826"/>
      <c r="BA225" s="1826"/>
      <c r="BB225" s="1826"/>
      <c r="BC225" s="1826"/>
      <c r="BD225" s="1826"/>
      <c r="BE225" s="1826"/>
      <c r="BF225" s="1826"/>
      <c r="BG225" s="1639"/>
    </row>
    <row customHeight="1" ht="12">
      <c r="A226" s="1170" t="s">
        <v>1225</v>
      </c>
      <c r="B226" s="1170"/>
      <c r="C226" s="1170"/>
      <c r="D226" s="1164"/>
      <c r="E226" s="1174"/>
      <c r="F226" s="2554"/>
      <c r="G226" s="1194"/>
      <c r="H226" s="1194"/>
      <c r="I226" s="2552" t="s">
        <v>1300</v>
      </c>
      <c r="J226" s="2552"/>
      <c r="K226" s="2552"/>
      <c r="L226" s="1177"/>
      <c r="M226" s="1177"/>
      <c r="N226" s="1178"/>
      <c r="O226" s="1178"/>
      <c r="P226" s="1178"/>
      <c r="Q226" s="1178"/>
      <c r="R226" s="1178"/>
      <c r="S226" s="1178"/>
      <c r="T226" s="1178"/>
      <c r="U226" s="1178"/>
      <c r="V226" s="1178"/>
      <c r="W226" s="1178"/>
      <c r="X226" s="1178"/>
      <c r="Y226" s="1178"/>
      <c r="Z226" s="1178"/>
      <c r="AA226" s="1178"/>
      <c r="AB226" s="1178"/>
      <c r="AC226" s="1178"/>
      <c r="AD226" s="1178"/>
      <c r="AE226" s="1178"/>
      <c r="AF226" s="1178"/>
      <c r="AG226" s="1177"/>
      <c r="AH226" s="1177"/>
      <c r="AI226" s="1178"/>
      <c r="AJ226" s="1177"/>
      <c r="AK226" s="1178"/>
      <c r="AL226" s="1989"/>
      <c r="AM226" s="1826"/>
      <c r="AN226" s="1826"/>
      <c r="AO226" s="1826"/>
      <c r="AP226" s="1826"/>
      <c r="AQ226" s="1826"/>
      <c r="AR226" s="1826"/>
      <c r="AS226" s="1826"/>
      <c r="AT226" s="1826"/>
      <c r="AU226" s="1826"/>
      <c r="AV226" s="1826"/>
      <c r="AW226" s="1826"/>
      <c r="AX226" s="1826"/>
      <c r="AY226" s="1826"/>
      <c r="AZ226" s="1826"/>
      <c r="BA226" s="1826"/>
      <c r="BB226" s="1826"/>
      <c r="BC226" s="1826"/>
      <c r="BD226" s="1826"/>
      <c r="BE226" s="1826"/>
      <c r="BF226" s="1826"/>
      <c r="BG226" s="1639"/>
    </row>
    <row customHeight="1" ht="0.75">
      <c r="A227" s="1170" t="s">
        <v>1225</v>
      </c>
      <c r="B227" s="1170"/>
      <c r="C227" s="1170"/>
      <c r="D227" s="1164"/>
      <c r="E227" s="1174"/>
      <c r="F227" s="2553">
        <v>2022</v>
      </c>
      <c r="G227" s="2532"/>
      <c r="H227" s="2557" t="s">
        <v>514</v>
      </c>
      <c r="I227" s="2558"/>
      <c r="J227" s="2559"/>
      <c r="K227" s="2559"/>
      <c r="L227" s="2551"/>
      <c r="M227" s="2285"/>
      <c r="N227" s="2037"/>
      <c r="O227" s="2036"/>
      <c r="P227" s="2037"/>
      <c r="Q227" s="2037"/>
      <c r="R227" s="2037"/>
      <c r="S227" s="2037"/>
      <c r="T227" s="2037"/>
      <c r="U227" s="2037"/>
      <c r="V227" s="2037"/>
      <c r="W227" s="2037"/>
      <c r="X227" s="2037"/>
      <c r="Y227" s="2037"/>
      <c r="Z227" s="2037"/>
      <c r="AA227" s="2037"/>
      <c r="AB227" s="2037"/>
      <c r="AC227" s="2037"/>
      <c r="AD227" s="2037"/>
      <c r="AE227" s="2037"/>
      <c r="AF227" s="2555"/>
      <c r="AG227" s="2551"/>
      <c r="AH227" s="2551"/>
      <c r="AI227" s="2555"/>
      <c r="AJ227" s="2551"/>
      <c r="AK227" s="2551"/>
      <c r="AL227" s="1989"/>
      <c r="AM227" s="1826"/>
      <c r="AN227" s="1826"/>
      <c r="AO227" s="1826"/>
      <c r="AP227" s="1826"/>
      <c r="AQ227" s="1826"/>
      <c r="AR227" s="1826"/>
      <c r="AS227" s="1826"/>
      <c r="AT227" s="1826"/>
      <c r="AU227" s="1826"/>
      <c r="AV227" s="1826"/>
      <c r="AW227" s="1826"/>
      <c r="AX227" s="1826"/>
      <c r="AY227" s="1826"/>
      <c r="AZ227" s="1826"/>
      <c r="BA227" s="1826"/>
      <c r="BB227" s="1826"/>
      <c r="BC227" s="1826"/>
      <c r="BD227" s="1826"/>
      <c r="BE227" s="1826"/>
      <c r="BF227" s="1826"/>
      <c r="BG227" s="1639"/>
    </row>
    <row customHeight="1" ht="0.75">
      <c r="A228" s="1170" t="s">
        <v>1225</v>
      </c>
      <c r="B228" s="1170"/>
      <c r="C228" s="1170"/>
      <c r="D228" s="1164"/>
      <c r="E228" s="1174"/>
      <c r="F228" s="2553"/>
      <c r="G228" s="2532"/>
      <c r="H228" s="2557"/>
      <c r="I228" s="2558"/>
      <c r="J228" s="2559"/>
      <c r="K228" s="2559"/>
      <c r="L228" s="2551"/>
      <c r="M228" s="2285"/>
      <c r="N228" s="2560"/>
      <c r="O228" s="2561"/>
      <c r="P228" s="2605"/>
      <c r="Q228" s="2556"/>
      <c r="R228" s="2556"/>
      <c r="S228" s="2556"/>
      <c r="T228" s="2556"/>
      <c r="U228" s="2556"/>
      <c r="V228" s="2556"/>
      <c r="W228" s="2556"/>
      <c r="X228" s="2556"/>
      <c r="Y228" s="2556"/>
      <c r="Z228" s="2038"/>
      <c r="AA228" s="2039"/>
      <c r="AB228" s="2039"/>
      <c r="AC228" s="2040"/>
      <c r="AD228" s="2040"/>
      <c r="AE228" s="2041"/>
      <c r="AF228" s="2555"/>
      <c r="AG228" s="2551"/>
      <c r="AH228" s="2551"/>
      <c r="AI228" s="2555"/>
      <c r="AJ228" s="2551"/>
      <c r="AK228" s="2551"/>
      <c r="AL228" s="1989"/>
      <c r="AM228" s="1826"/>
      <c r="AN228" s="1826"/>
      <c r="AO228" s="1826"/>
      <c r="AP228" s="1826"/>
      <c r="AQ228" s="1826"/>
      <c r="AR228" s="1826"/>
      <c r="AS228" s="1826"/>
      <c r="AT228" s="1826"/>
      <c r="AU228" s="1826"/>
      <c r="AV228" s="1826"/>
      <c r="AW228" s="1826"/>
      <c r="AX228" s="1826"/>
      <c r="AY228" s="1826"/>
      <c r="AZ228" s="1826"/>
      <c r="BA228" s="1826"/>
      <c r="BB228" s="1826"/>
      <c r="BC228" s="1826"/>
      <c r="BD228" s="1826"/>
      <c r="BE228" s="1826"/>
      <c r="BF228" s="1826"/>
      <c r="BG228" s="1639"/>
    </row>
    <row customHeight="1" ht="0.75">
      <c r="A229" s="1170" t="s">
        <v>1225</v>
      </c>
      <c r="B229" s="1170"/>
      <c r="C229" s="1170"/>
      <c r="D229" s="1164"/>
      <c r="E229" s="1174"/>
      <c r="F229" s="2553"/>
      <c r="G229" s="2532"/>
      <c r="H229" s="2557"/>
      <c r="I229" s="2558"/>
      <c r="J229" s="2559"/>
      <c r="K229" s="2559"/>
      <c r="L229" s="2551"/>
      <c r="M229" s="2285"/>
      <c r="N229" s="2560"/>
      <c r="O229" s="2561"/>
      <c r="P229" s="2606"/>
      <c r="Q229" s="2556"/>
      <c r="R229" s="2556"/>
      <c r="S229" s="2556"/>
      <c r="T229" s="2556"/>
      <c r="U229" s="2556"/>
      <c r="V229" s="2556"/>
      <c r="W229" s="2556"/>
      <c r="X229" s="2556"/>
      <c r="Y229" s="2556"/>
      <c r="Z229" s="2042"/>
      <c r="AA229" s="2043"/>
      <c r="AB229" s="2044"/>
      <c r="AC229" s="2045"/>
      <c r="AD229" s="2044"/>
      <c r="AE229" s="2045"/>
      <c r="AF229" s="2555"/>
      <c r="AG229" s="2551"/>
      <c r="AH229" s="2551"/>
      <c r="AI229" s="2555"/>
      <c r="AJ229" s="2551"/>
      <c r="AK229" s="2551"/>
      <c r="AL229" s="1989"/>
      <c r="AM229" s="1826"/>
      <c r="AN229" s="1826"/>
      <c r="AO229" s="1826"/>
      <c r="AP229" s="1826"/>
      <c r="AQ229" s="1826"/>
      <c r="AR229" s="1826"/>
      <c r="AS229" s="1826"/>
      <c r="AT229" s="1826"/>
      <c r="AU229" s="1826"/>
      <c r="AV229" s="1826"/>
      <c r="AW229" s="1826"/>
      <c r="AX229" s="1826"/>
      <c r="AY229" s="1826"/>
      <c r="AZ229" s="1826"/>
      <c r="BA229" s="1826"/>
      <c r="BB229" s="1826"/>
      <c r="BC229" s="1826"/>
      <c r="BD229" s="1826"/>
      <c r="BE229" s="1826"/>
      <c r="BF229" s="1826"/>
      <c r="BG229" s="1639"/>
    </row>
    <row customHeight="1" ht="0.75">
      <c r="A230" s="1170" t="s">
        <v>1225</v>
      </c>
      <c r="B230" s="1170"/>
      <c r="C230" s="1170"/>
      <c r="D230" s="1164"/>
      <c r="E230" s="1174"/>
      <c r="F230" s="2553"/>
      <c r="G230" s="2532"/>
      <c r="H230" s="2557"/>
      <c r="I230" s="2558"/>
      <c r="J230" s="2559"/>
      <c r="K230" s="2559"/>
      <c r="L230" s="2551"/>
      <c r="M230" s="2285"/>
      <c r="N230" s="2560"/>
      <c r="O230" s="2561"/>
      <c r="P230" s="2607"/>
      <c r="Q230" s="2556"/>
      <c r="R230" s="2556"/>
      <c r="S230" s="2556"/>
      <c r="T230" s="2556"/>
      <c r="U230" s="2556"/>
      <c r="V230" s="2556"/>
      <c r="W230" s="2556"/>
      <c r="X230" s="2556"/>
      <c r="Y230" s="2556"/>
      <c r="Z230" s="2038"/>
      <c r="AA230" s="2039"/>
      <c r="AB230" s="2046"/>
      <c r="AC230" s="2040"/>
      <c r="AD230" s="2040"/>
      <c r="AE230" s="2047"/>
      <c r="AF230" s="2555"/>
      <c r="AG230" s="2551"/>
      <c r="AH230" s="2551"/>
      <c r="AI230" s="2555"/>
      <c r="AJ230" s="2551"/>
      <c r="AK230" s="2551"/>
      <c r="AL230" s="1989"/>
      <c r="AM230" s="1826"/>
      <c r="AN230" s="1826"/>
      <c r="AO230" s="1826"/>
      <c r="AP230" s="1826"/>
      <c r="AQ230" s="1826"/>
      <c r="AR230" s="1826"/>
      <c r="AS230" s="1826"/>
      <c r="AT230" s="1826"/>
      <c r="AU230" s="1826"/>
      <c r="AV230" s="1826"/>
      <c r="AW230" s="1826"/>
      <c r="AX230" s="1826"/>
      <c r="AY230" s="1826"/>
      <c r="AZ230" s="1826"/>
      <c r="BA230" s="1826"/>
      <c r="BB230" s="1826"/>
      <c r="BC230" s="1826"/>
      <c r="BD230" s="1826"/>
      <c r="BE230" s="1826"/>
      <c r="BF230" s="1826"/>
      <c r="BG230" s="1639"/>
    </row>
    <row customHeight="1" ht="0.75">
      <c r="A231" s="1170" t="s">
        <v>1225</v>
      </c>
      <c r="B231" s="1170"/>
      <c r="C231" s="1170"/>
      <c r="D231" s="1164"/>
      <c r="E231" s="1174"/>
      <c r="F231" s="2553"/>
      <c r="G231" s="2532"/>
      <c r="H231" s="2557"/>
      <c r="I231" s="2558"/>
      <c r="J231" s="2559"/>
      <c r="K231" s="2559"/>
      <c r="L231" s="2551"/>
      <c r="M231" s="2285"/>
      <c r="N231" s="2039"/>
      <c r="O231" s="2039"/>
      <c r="P231" s="2046"/>
      <c r="Q231" s="2039"/>
      <c r="R231" s="2039"/>
      <c r="S231" s="2039"/>
      <c r="T231" s="2039"/>
      <c r="U231" s="2039"/>
      <c r="V231" s="2039"/>
      <c r="W231" s="2039"/>
      <c r="X231" s="2039"/>
      <c r="Y231" s="2039"/>
      <c r="Z231" s="2039"/>
      <c r="AA231" s="2039"/>
      <c r="AB231" s="2039"/>
      <c r="AC231" s="2039"/>
      <c r="AD231" s="2039"/>
      <c r="AE231" s="2048"/>
      <c r="AF231" s="2555"/>
      <c r="AG231" s="2551"/>
      <c r="AH231" s="2551"/>
      <c r="AI231" s="2555"/>
      <c r="AJ231" s="2551"/>
      <c r="AK231" s="2551"/>
      <c r="AL231" s="1989"/>
      <c r="AM231" s="1826"/>
      <c r="AN231" s="1826"/>
      <c r="AO231" s="1826"/>
      <c r="AP231" s="1826"/>
      <c r="AQ231" s="1826"/>
      <c r="AR231" s="1826"/>
      <c r="AS231" s="1826"/>
      <c r="AT231" s="1826"/>
      <c r="AU231" s="1826"/>
      <c r="AV231" s="1826"/>
      <c r="AW231" s="1826"/>
      <c r="AX231" s="1826"/>
      <c r="AY231" s="1826"/>
      <c r="AZ231" s="1826"/>
      <c r="BA231" s="1826"/>
      <c r="BB231" s="1826"/>
      <c r="BC231" s="1826"/>
      <c r="BD231" s="1826"/>
      <c r="BE231" s="1826"/>
      <c r="BF231" s="1826"/>
      <c r="BG231" s="1639"/>
    </row>
    <row customHeight="1" ht="12">
      <c r="A232" s="1170" t="s">
        <v>1225</v>
      </c>
      <c r="B232" s="1170"/>
      <c r="C232" s="1170"/>
      <c r="D232" s="1164"/>
      <c r="E232" s="1174"/>
      <c r="F232" s="2554"/>
      <c r="G232" s="1194"/>
      <c r="H232" s="1194"/>
      <c r="I232" s="2552" t="s">
        <v>1300</v>
      </c>
      <c r="J232" s="2552"/>
      <c r="K232" s="2552"/>
      <c r="L232" s="1177"/>
      <c r="M232" s="1177"/>
      <c r="N232" s="1178"/>
      <c r="O232" s="1178"/>
      <c r="P232" s="1178"/>
      <c r="Q232" s="1178"/>
      <c r="R232" s="1178"/>
      <c r="S232" s="1178"/>
      <c r="T232" s="1178"/>
      <c r="U232" s="1178"/>
      <c r="V232" s="1178"/>
      <c r="W232" s="1178"/>
      <c r="X232" s="1178"/>
      <c r="Y232" s="1178"/>
      <c r="Z232" s="1178"/>
      <c r="AA232" s="1178"/>
      <c r="AB232" s="1178"/>
      <c r="AC232" s="1178"/>
      <c r="AD232" s="1178"/>
      <c r="AE232" s="1178"/>
      <c r="AF232" s="1178"/>
      <c r="AG232" s="1177"/>
      <c r="AH232" s="1177"/>
      <c r="AI232" s="1178"/>
      <c r="AJ232" s="1177"/>
      <c r="AK232" s="1178"/>
      <c r="AL232" s="1989"/>
      <c r="AM232" s="1826"/>
      <c r="AN232" s="1826"/>
      <c r="AO232" s="1826"/>
      <c r="AP232" s="1826"/>
      <c r="AQ232" s="1826"/>
      <c r="AR232" s="1826"/>
      <c r="AS232" s="1826"/>
      <c r="AT232" s="1826"/>
      <c r="AU232" s="1826"/>
      <c r="AV232" s="1826"/>
      <c r="AW232" s="1826"/>
      <c r="AX232" s="1826"/>
      <c r="AY232" s="1826"/>
      <c r="AZ232" s="1826"/>
      <c r="BA232" s="1826"/>
      <c r="BB232" s="1826"/>
      <c r="BC232" s="1826"/>
      <c r="BD232" s="1826"/>
      <c r="BE232" s="1826"/>
      <c r="BF232" s="1826"/>
      <c r="BG232" s="1639"/>
    </row>
    <row customHeight="1" ht="0.75">
      <c r="A233" s="1170" t="s">
        <v>1225</v>
      </c>
      <c r="B233" s="1170"/>
      <c r="C233" s="1170"/>
      <c r="D233" s="1164"/>
      <c r="E233" s="1174"/>
      <c r="F233" s="2553">
        <v>2023</v>
      </c>
      <c r="G233" s="2532"/>
      <c r="H233" s="2557" t="s">
        <v>514</v>
      </c>
      <c r="I233" s="2558"/>
      <c r="J233" s="2559"/>
      <c r="K233" s="2559"/>
      <c r="L233" s="2551"/>
      <c r="M233" s="2285"/>
      <c r="N233" s="2037"/>
      <c r="O233" s="2036"/>
      <c r="P233" s="2037"/>
      <c r="Q233" s="2037"/>
      <c r="R233" s="2037"/>
      <c r="S233" s="2037"/>
      <c r="T233" s="2037"/>
      <c r="U233" s="2037"/>
      <c r="V233" s="2037"/>
      <c r="W233" s="2037"/>
      <c r="X233" s="2037"/>
      <c r="Y233" s="2037"/>
      <c r="Z233" s="2037"/>
      <c r="AA233" s="2037"/>
      <c r="AB233" s="2037"/>
      <c r="AC233" s="2037"/>
      <c r="AD233" s="2037"/>
      <c r="AE233" s="2037"/>
      <c r="AF233" s="2555"/>
      <c r="AG233" s="2551"/>
      <c r="AH233" s="2551"/>
      <c r="AI233" s="2555"/>
      <c r="AJ233" s="2551"/>
      <c r="AK233" s="2551"/>
      <c r="AL233" s="1989"/>
      <c r="AM233" s="1826"/>
      <c r="AN233" s="1826"/>
      <c r="AO233" s="1826"/>
      <c r="AP233" s="1826"/>
      <c r="AQ233" s="1826"/>
      <c r="AR233" s="1826"/>
      <c r="AS233" s="1826"/>
      <c r="AT233" s="1826"/>
      <c r="AU233" s="1826"/>
      <c r="AV233" s="1826"/>
      <c r="AW233" s="1826"/>
      <c r="AX233" s="1826"/>
      <c r="AY233" s="1826"/>
      <c r="AZ233" s="1826"/>
      <c r="BA233" s="1826"/>
      <c r="BB233" s="1826"/>
      <c r="BC233" s="1826"/>
      <c r="BD233" s="1826"/>
      <c r="BE233" s="1826"/>
      <c r="BF233" s="1826"/>
      <c r="BG233" s="1639"/>
    </row>
    <row customHeight="1" ht="0.75">
      <c r="A234" s="1170" t="s">
        <v>1225</v>
      </c>
      <c r="B234" s="1170"/>
      <c r="C234" s="1170"/>
      <c r="D234" s="1164"/>
      <c r="E234" s="1174"/>
      <c r="F234" s="2553"/>
      <c r="G234" s="2532"/>
      <c r="H234" s="2557"/>
      <c r="I234" s="2558"/>
      <c r="J234" s="2559"/>
      <c r="K234" s="2559"/>
      <c r="L234" s="2551"/>
      <c r="M234" s="2285"/>
      <c r="N234" s="2560"/>
      <c r="O234" s="2561"/>
      <c r="P234" s="2605"/>
      <c r="Q234" s="2556"/>
      <c r="R234" s="2556"/>
      <c r="S234" s="2556"/>
      <c r="T234" s="2556"/>
      <c r="U234" s="2556"/>
      <c r="V234" s="2556"/>
      <c r="W234" s="2556"/>
      <c r="X234" s="2556"/>
      <c r="Y234" s="2556"/>
      <c r="Z234" s="2038"/>
      <c r="AA234" s="2039"/>
      <c r="AB234" s="2039"/>
      <c r="AC234" s="2040"/>
      <c r="AD234" s="2040"/>
      <c r="AE234" s="2041"/>
      <c r="AF234" s="2555"/>
      <c r="AG234" s="2551"/>
      <c r="AH234" s="2551"/>
      <c r="AI234" s="2555"/>
      <c r="AJ234" s="2551"/>
      <c r="AK234" s="2551"/>
      <c r="AL234" s="1989"/>
      <c r="AM234" s="1826"/>
      <c r="AN234" s="1826"/>
      <c r="AO234" s="1826"/>
      <c r="AP234" s="1826"/>
      <c r="AQ234" s="1826"/>
      <c r="AR234" s="1826"/>
      <c r="AS234" s="1826"/>
      <c r="AT234" s="1826"/>
      <c r="AU234" s="1826"/>
      <c r="AV234" s="1826"/>
      <c r="AW234" s="1826"/>
      <c r="AX234" s="1826"/>
      <c r="AY234" s="1826"/>
      <c r="AZ234" s="1826"/>
      <c r="BA234" s="1826"/>
      <c r="BB234" s="1826"/>
      <c r="BC234" s="1826"/>
      <c r="BD234" s="1826"/>
      <c r="BE234" s="1826"/>
      <c r="BF234" s="1826"/>
      <c r="BG234" s="1639"/>
    </row>
    <row customHeight="1" ht="0.75">
      <c r="A235" s="1170" t="s">
        <v>1225</v>
      </c>
      <c r="B235" s="1170"/>
      <c r="C235" s="1170"/>
      <c r="D235" s="1164"/>
      <c r="E235" s="1174"/>
      <c r="F235" s="2553"/>
      <c r="G235" s="2532"/>
      <c r="H235" s="2557"/>
      <c r="I235" s="2558"/>
      <c r="J235" s="2559"/>
      <c r="K235" s="2559"/>
      <c r="L235" s="2551"/>
      <c r="M235" s="2285"/>
      <c r="N235" s="2560"/>
      <c r="O235" s="2561"/>
      <c r="P235" s="2606"/>
      <c r="Q235" s="2556"/>
      <c r="R235" s="2556"/>
      <c r="S235" s="2556"/>
      <c r="T235" s="2556"/>
      <c r="U235" s="2556"/>
      <c r="V235" s="2556"/>
      <c r="W235" s="2556"/>
      <c r="X235" s="2556"/>
      <c r="Y235" s="2556"/>
      <c r="Z235" s="2042"/>
      <c r="AA235" s="2043"/>
      <c r="AB235" s="2044"/>
      <c r="AC235" s="2045"/>
      <c r="AD235" s="2044"/>
      <c r="AE235" s="2045"/>
      <c r="AF235" s="2555"/>
      <c r="AG235" s="2551"/>
      <c r="AH235" s="2551"/>
      <c r="AI235" s="2555"/>
      <c r="AJ235" s="2551"/>
      <c r="AK235" s="2551"/>
      <c r="AL235" s="1989"/>
      <c r="AM235" s="1826"/>
      <c r="AN235" s="1826"/>
      <c r="AO235" s="1826"/>
      <c r="AP235" s="1826"/>
      <c r="AQ235" s="1826"/>
      <c r="AR235" s="1826"/>
      <c r="AS235" s="1826"/>
      <c r="AT235" s="1826"/>
      <c r="AU235" s="1826"/>
      <c r="AV235" s="1826"/>
      <c r="AW235" s="1826"/>
      <c r="AX235" s="1826"/>
      <c r="AY235" s="1826"/>
      <c r="AZ235" s="1826"/>
      <c r="BA235" s="1826"/>
      <c r="BB235" s="1826"/>
      <c r="BC235" s="1826"/>
      <c r="BD235" s="1826"/>
      <c r="BE235" s="1826"/>
      <c r="BF235" s="1826"/>
      <c r="BG235" s="1639"/>
    </row>
    <row customHeight="1" ht="0.75">
      <c r="A236" s="1170" t="s">
        <v>1225</v>
      </c>
      <c r="B236" s="1170"/>
      <c r="C236" s="1170"/>
      <c r="D236" s="1164"/>
      <c r="E236" s="1174"/>
      <c r="F236" s="2553"/>
      <c r="G236" s="2532"/>
      <c r="H236" s="2557"/>
      <c r="I236" s="2558"/>
      <c r="J236" s="2559"/>
      <c r="K236" s="2559"/>
      <c r="L236" s="2551"/>
      <c r="M236" s="2285"/>
      <c r="N236" s="2560"/>
      <c r="O236" s="2561"/>
      <c r="P236" s="2607"/>
      <c r="Q236" s="2556"/>
      <c r="R236" s="2556"/>
      <c r="S236" s="2556"/>
      <c r="T236" s="2556"/>
      <c r="U236" s="2556"/>
      <c r="V236" s="2556"/>
      <c r="W236" s="2556"/>
      <c r="X236" s="2556"/>
      <c r="Y236" s="2556"/>
      <c r="Z236" s="2038"/>
      <c r="AA236" s="2039"/>
      <c r="AB236" s="2046"/>
      <c r="AC236" s="2040"/>
      <c r="AD236" s="2040"/>
      <c r="AE236" s="2047"/>
      <c r="AF236" s="2555"/>
      <c r="AG236" s="2551"/>
      <c r="AH236" s="2551"/>
      <c r="AI236" s="2555"/>
      <c r="AJ236" s="2551"/>
      <c r="AK236" s="2551"/>
      <c r="AL236" s="1989"/>
      <c r="AM236" s="1826"/>
      <c r="AN236" s="1826"/>
      <c r="AO236" s="1826"/>
      <c r="AP236" s="1826"/>
      <c r="AQ236" s="1826"/>
      <c r="AR236" s="1826"/>
      <c r="AS236" s="1826"/>
      <c r="AT236" s="1826"/>
      <c r="AU236" s="1826"/>
      <c r="AV236" s="1826"/>
      <c r="AW236" s="1826"/>
      <c r="AX236" s="1826"/>
      <c r="AY236" s="1826"/>
      <c r="AZ236" s="1826"/>
      <c r="BA236" s="1826"/>
      <c r="BB236" s="1826"/>
      <c r="BC236" s="1826"/>
      <c r="BD236" s="1826"/>
      <c r="BE236" s="1826"/>
      <c r="BF236" s="1826"/>
      <c r="BG236" s="1639"/>
    </row>
    <row customHeight="1" ht="0.75">
      <c r="A237" s="1170" t="s">
        <v>1225</v>
      </c>
      <c r="B237" s="1170"/>
      <c r="C237" s="1170"/>
      <c r="D237" s="1164"/>
      <c r="E237" s="1174"/>
      <c r="F237" s="2553"/>
      <c r="G237" s="2532"/>
      <c r="H237" s="2557"/>
      <c r="I237" s="2558"/>
      <c r="J237" s="2559"/>
      <c r="K237" s="2559"/>
      <c r="L237" s="2551"/>
      <c r="M237" s="2285"/>
      <c r="N237" s="2039"/>
      <c r="O237" s="2039"/>
      <c r="P237" s="2046"/>
      <c r="Q237" s="2039"/>
      <c r="R237" s="2039"/>
      <c r="S237" s="2039"/>
      <c r="T237" s="2039"/>
      <c r="U237" s="2039"/>
      <c r="V237" s="2039"/>
      <c r="W237" s="2039"/>
      <c r="X237" s="2039"/>
      <c r="Y237" s="2039"/>
      <c r="Z237" s="2039"/>
      <c r="AA237" s="2039"/>
      <c r="AB237" s="2039"/>
      <c r="AC237" s="2039"/>
      <c r="AD237" s="2039"/>
      <c r="AE237" s="2048"/>
      <c r="AF237" s="2555"/>
      <c r="AG237" s="2551"/>
      <c r="AH237" s="2551"/>
      <c r="AI237" s="2555"/>
      <c r="AJ237" s="2551"/>
      <c r="AK237" s="2551"/>
      <c r="AL237" s="1989"/>
      <c r="AM237" s="1826"/>
      <c r="AN237" s="1826"/>
      <c r="AO237" s="1826"/>
      <c r="AP237" s="1826"/>
      <c r="AQ237" s="1826"/>
      <c r="AR237" s="1826"/>
      <c r="AS237" s="1826"/>
      <c r="AT237" s="1826"/>
      <c r="AU237" s="1826"/>
      <c r="AV237" s="1826"/>
      <c r="AW237" s="1826"/>
      <c r="AX237" s="1826"/>
      <c r="AY237" s="1826"/>
      <c r="AZ237" s="1826"/>
      <c r="BA237" s="1826"/>
      <c r="BB237" s="1826"/>
      <c r="BC237" s="1826"/>
      <c r="BD237" s="1826"/>
      <c r="BE237" s="1826"/>
      <c r="BF237" s="1826"/>
      <c r="BG237" s="1639"/>
    </row>
    <row customHeight="1" ht="12">
      <c r="A238" s="1170" t="s">
        <v>1225</v>
      </c>
      <c r="B238" s="1170"/>
      <c r="C238" s="1170"/>
      <c r="D238" s="1164"/>
      <c r="E238" s="1174"/>
      <c r="F238" s="2554"/>
      <c r="G238" s="1194"/>
      <c r="H238" s="1194"/>
      <c r="I238" s="2552" t="s">
        <v>1300</v>
      </c>
      <c r="J238" s="2552"/>
      <c r="K238" s="2552"/>
      <c r="L238" s="1177"/>
      <c r="M238" s="1177"/>
      <c r="N238" s="1178"/>
      <c r="O238" s="1178"/>
      <c r="P238" s="1178"/>
      <c r="Q238" s="1178"/>
      <c r="R238" s="1178"/>
      <c r="S238" s="1178"/>
      <c r="T238" s="1178"/>
      <c r="U238" s="1178"/>
      <c r="V238" s="1178"/>
      <c r="W238" s="1178"/>
      <c r="X238" s="1178"/>
      <c r="Y238" s="1178"/>
      <c r="Z238" s="1178"/>
      <c r="AA238" s="1178"/>
      <c r="AB238" s="1178"/>
      <c r="AC238" s="1178"/>
      <c r="AD238" s="1178"/>
      <c r="AE238" s="1178"/>
      <c r="AF238" s="1178"/>
      <c r="AG238" s="1177"/>
      <c r="AH238" s="1177"/>
      <c r="AI238" s="1178"/>
      <c r="AJ238" s="1177"/>
      <c r="AK238" s="1178"/>
      <c r="AL238" s="1989"/>
      <c r="AM238" s="1826"/>
      <c r="AN238" s="1826"/>
      <c r="AO238" s="1826"/>
      <c r="AP238" s="1826"/>
      <c r="AQ238" s="1826"/>
      <c r="AR238" s="1826"/>
      <c r="AS238" s="1826"/>
      <c r="AT238" s="1826"/>
      <c r="AU238" s="1826"/>
      <c r="AV238" s="1826"/>
      <c r="AW238" s="1826"/>
      <c r="AX238" s="1826"/>
      <c r="AY238" s="1826"/>
      <c r="AZ238" s="1826"/>
      <c r="BA238" s="1826"/>
      <c r="BB238" s="1826"/>
      <c r="BC238" s="1826"/>
      <c r="BD238" s="1826"/>
      <c r="BE238" s="1826"/>
      <c r="BF238" s="1826"/>
      <c r="BG238" s="1639"/>
    </row>
    <row customHeight="1" ht="0.75">
      <c r="A239" s="1170" t="s">
        <v>1225</v>
      </c>
      <c r="B239" s="1170"/>
      <c r="C239" s="1170"/>
      <c r="D239" s="1164"/>
      <c r="E239" s="1174"/>
      <c r="F239" s="2553">
        <v>2024</v>
      </c>
      <c r="G239" s="2532"/>
      <c r="H239" s="2557" t="s">
        <v>514</v>
      </c>
      <c r="I239" s="2558"/>
      <c r="J239" s="2559"/>
      <c r="K239" s="2559"/>
      <c r="L239" s="2551"/>
      <c r="M239" s="2285"/>
      <c r="N239" s="2037"/>
      <c r="O239" s="2036"/>
      <c r="P239" s="2037"/>
      <c r="Q239" s="2037"/>
      <c r="R239" s="2037"/>
      <c r="S239" s="2037"/>
      <c r="T239" s="2037"/>
      <c r="U239" s="2037"/>
      <c r="V239" s="2037"/>
      <c r="W239" s="2037"/>
      <c r="X239" s="2037"/>
      <c r="Y239" s="2037"/>
      <c r="Z239" s="2037"/>
      <c r="AA239" s="2037"/>
      <c r="AB239" s="2037"/>
      <c r="AC239" s="2037"/>
      <c r="AD239" s="2037"/>
      <c r="AE239" s="2037"/>
      <c r="AF239" s="2555"/>
      <c r="AG239" s="2551"/>
      <c r="AH239" s="2551"/>
      <c r="AI239" s="2555"/>
      <c r="AJ239" s="2551"/>
      <c r="AK239" s="2551"/>
      <c r="AL239" s="1989"/>
      <c r="AM239" s="1826"/>
      <c r="AN239" s="1826"/>
      <c r="AO239" s="1826"/>
      <c r="AP239" s="1826"/>
      <c r="AQ239" s="1826"/>
      <c r="AR239" s="1826"/>
      <c r="AS239" s="1826"/>
      <c r="AT239" s="1826"/>
      <c r="AU239" s="1826"/>
      <c r="AV239" s="1826"/>
      <c r="AW239" s="1826"/>
      <c r="AX239" s="1826"/>
      <c r="AY239" s="1826"/>
      <c r="AZ239" s="1826"/>
      <c r="BA239" s="1826"/>
      <c r="BB239" s="1826"/>
      <c r="BC239" s="1826"/>
      <c r="BD239" s="1826"/>
      <c r="BE239" s="1826"/>
      <c r="BF239" s="1826"/>
      <c r="BG239" s="1639"/>
    </row>
    <row customHeight="1" ht="0.75">
      <c r="A240" s="1170" t="s">
        <v>1225</v>
      </c>
      <c r="B240" s="1170"/>
      <c r="C240" s="1170"/>
      <c r="D240" s="1164"/>
      <c r="E240" s="1174"/>
      <c r="F240" s="2553"/>
      <c r="G240" s="2532"/>
      <c r="H240" s="2557"/>
      <c r="I240" s="2558"/>
      <c r="J240" s="2559"/>
      <c r="K240" s="2559"/>
      <c r="L240" s="2551"/>
      <c r="M240" s="2285"/>
      <c r="N240" s="2560"/>
      <c r="O240" s="2561"/>
      <c r="P240" s="2605"/>
      <c r="Q240" s="2556"/>
      <c r="R240" s="2556"/>
      <c r="S240" s="2556"/>
      <c r="T240" s="2556"/>
      <c r="U240" s="2556"/>
      <c r="V240" s="2556"/>
      <c r="W240" s="2556"/>
      <c r="X240" s="2556"/>
      <c r="Y240" s="2556"/>
      <c r="Z240" s="2038"/>
      <c r="AA240" s="2039"/>
      <c r="AB240" s="2039"/>
      <c r="AC240" s="2040"/>
      <c r="AD240" s="2040"/>
      <c r="AE240" s="2041"/>
      <c r="AF240" s="2555"/>
      <c r="AG240" s="2551"/>
      <c r="AH240" s="2551"/>
      <c r="AI240" s="2555"/>
      <c r="AJ240" s="2551"/>
      <c r="AK240" s="2551"/>
      <c r="AL240" s="1989"/>
      <c r="AM240" s="1826"/>
      <c r="AN240" s="1826"/>
      <c r="AO240" s="1826"/>
      <c r="AP240" s="1826"/>
      <c r="AQ240" s="1826"/>
      <c r="AR240" s="1826"/>
      <c r="AS240" s="1826"/>
      <c r="AT240" s="1826"/>
      <c r="AU240" s="1826"/>
      <c r="AV240" s="1826"/>
      <c r="AW240" s="1826"/>
      <c r="AX240" s="1826"/>
      <c r="AY240" s="1826"/>
      <c r="AZ240" s="1826"/>
      <c r="BA240" s="1826"/>
      <c r="BB240" s="1826"/>
      <c r="BC240" s="1826"/>
      <c r="BD240" s="1826"/>
      <c r="BE240" s="1826"/>
      <c r="BF240" s="1826"/>
      <c r="BG240" s="1639"/>
    </row>
    <row customHeight="1" ht="0.75">
      <c r="A241" s="1170" t="s">
        <v>1225</v>
      </c>
      <c r="B241" s="1170"/>
      <c r="C241" s="1170"/>
      <c r="D241" s="1164"/>
      <c r="E241" s="1174"/>
      <c r="F241" s="2553"/>
      <c r="G241" s="2532"/>
      <c r="H241" s="2557"/>
      <c r="I241" s="2558"/>
      <c r="J241" s="2559"/>
      <c r="K241" s="2559"/>
      <c r="L241" s="2551"/>
      <c r="M241" s="2285"/>
      <c r="N241" s="2560"/>
      <c r="O241" s="2561"/>
      <c r="P241" s="2606"/>
      <c r="Q241" s="2556"/>
      <c r="R241" s="2556"/>
      <c r="S241" s="2556"/>
      <c r="T241" s="2556"/>
      <c r="U241" s="2556"/>
      <c r="V241" s="2556"/>
      <c r="W241" s="2556"/>
      <c r="X241" s="2556"/>
      <c r="Y241" s="2556"/>
      <c r="Z241" s="2042"/>
      <c r="AA241" s="2043"/>
      <c r="AB241" s="2044"/>
      <c r="AC241" s="2045"/>
      <c r="AD241" s="2044"/>
      <c r="AE241" s="2045"/>
      <c r="AF241" s="2555"/>
      <c r="AG241" s="2551"/>
      <c r="AH241" s="2551"/>
      <c r="AI241" s="2555"/>
      <c r="AJ241" s="2551"/>
      <c r="AK241" s="2551"/>
      <c r="AL241" s="1989"/>
      <c r="AM241" s="1826"/>
      <c r="AN241" s="1826"/>
      <c r="AO241" s="1826"/>
      <c r="AP241" s="1826"/>
      <c r="AQ241" s="1826"/>
      <c r="AR241" s="1826"/>
      <c r="AS241" s="1826"/>
      <c r="AT241" s="1826"/>
      <c r="AU241" s="1826"/>
      <c r="AV241" s="1826"/>
      <c r="AW241" s="1826"/>
      <c r="AX241" s="1826"/>
      <c r="AY241" s="1826"/>
      <c r="AZ241" s="1826"/>
      <c r="BA241" s="1826"/>
      <c r="BB241" s="1826"/>
      <c r="BC241" s="1826"/>
      <c r="BD241" s="1826"/>
      <c r="BE241" s="1826"/>
      <c r="BF241" s="1826"/>
      <c r="BG241" s="1639"/>
    </row>
    <row customHeight="1" ht="0.75">
      <c r="A242" s="1170" t="s">
        <v>1225</v>
      </c>
      <c r="B242" s="1170"/>
      <c r="C242" s="1170"/>
      <c r="D242" s="1164"/>
      <c r="E242" s="1174"/>
      <c r="F242" s="2553"/>
      <c r="G242" s="2532"/>
      <c r="H242" s="2557"/>
      <c r="I242" s="2558"/>
      <c r="J242" s="2559"/>
      <c r="K242" s="2559"/>
      <c r="L242" s="2551"/>
      <c r="M242" s="2285"/>
      <c r="N242" s="2560"/>
      <c r="O242" s="2561"/>
      <c r="P242" s="2607"/>
      <c r="Q242" s="2556"/>
      <c r="R242" s="2556"/>
      <c r="S242" s="2556"/>
      <c r="T242" s="2556"/>
      <c r="U242" s="2556"/>
      <c r="V242" s="2556"/>
      <c r="W242" s="2556"/>
      <c r="X242" s="2556"/>
      <c r="Y242" s="2556"/>
      <c r="Z242" s="2038"/>
      <c r="AA242" s="2039"/>
      <c r="AB242" s="2046"/>
      <c r="AC242" s="2040"/>
      <c r="AD242" s="2040"/>
      <c r="AE242" s="2047"/>
      <c r="AF242" s="2555"/>
      <c r="AG242" s="2551"/>
      <c r="AH242" s="2551"/>
      <c r="AI242" s="2555"/>
      <c r="AJ242" s="2551"/>
      <c r="AK242" s="2551"/>
      <c r="AL242" s="1989"/>
      <c r="AM242" s="1826"/>
      <c r="AN242" s="1826"/>
      <c r="AO242" s="1826"/>
      <c r="AP242" s="1826"/>
      <c r="AQ242" s="1826"/>
      <c r="AR242" s="1826"/>
      <c r="AS242" s="1826"/>
      <c r="AT242" s="1826"/>
      <c r="AU242" s="1826"/>
      <c r="AV242" s="1826"/>
      <c r="AW242" s="1826"/>
      <c r="AX242" s="1826"/>
      <c r="AY242" s="1826"/>
      <c r="AZ242" s="1826"/>
      <c r="BA242" s="1826"/>
      <c r="BB242" s="1826"/>
      <c r="BC242" s="1826"/>
      <c r="BD242" s="1826"/>
      <c r="BE242" s="1826"/>
      <c r="BF242" s="1826"/>
      <c r="BG242" s="1639"/>
    </row>
    <row customHeight="1" ht="0.75">
      <c r="A243" s="1170" t="s">
        <v>1225</v>
      </c>
      <c r="B243" s="1170"/>
      <c r="C243" s="1170"/>
      <c r="D243" s="1164"/>
      <c r="E243" s="1174"/>
      <c r="F243" s="2553"/>
      <c r="G243" s="2532"/>
      <c r="H243" s="2557"/>
      <c r="I243" s="2558"/>
      <c r="J243" s="2559"/>
      <c r="K243" s="2559"/>
      <c r="L243" s="2551"/>
      <c r="M243" s="2285"/>
      <c r="N243" s="2039"/>
      <c r="O243" s="2039"/>
      <c r="P243" s="2046"/>
      <c r="Q243" s="2039"/>
      <c r="R243" s="2039"/>
      <c r="S243" s="2039"/>
      <c r="T243" s="2039"/>
      <c r="U243" s="2039"/>
      <c r="V243" s="2039"/>
      <c r="W243" s="2039"/>
      <c r="X243" s="2039"/>
      <c r="Y243" s="2039"/>
      <c r="Z243" s="2039"/>
      <c r="AA243" s="2039"/>
      <c r="AB243" s="2039"/>
      <c r="AC243" s="2039"/>
      <c r="AD243" s="2039"/>
      <c r="AE243" s="2048"/>
      <c r="AF243" s="2555"/>
      <c r="AG243" s="2551"/>
      <c r="AH243" s="2551"/>
      <c r="AI243" s="2555"/>
      <c r="AJ243" s="2551"/>
      <c r="AK243" s="2551"/>
      <c r="AL243" s="1989"/>
      <c r="AM243" s="1826"/>
      <c r="AN243" s="1826"/>
      <c r="AO243" s="1826"/>
      <c r="AP243" s="1826"/>
      <c r="AQ243" s="1826"/>
      <c r="AR243" s="1826"/>
      <c r="AS243" s="1826"/>
      <c r="AT243" s="1826"/>
      <c r="AU243" s="1826"/>
      <c r="AV243" s="1826"/>
      <c r="AW243" s="1826"/>
      <c r="AX243" s="1826"/>
      <c r="AY243" s="1826"/>
      <c r="AZ243" s="1826"/>
      <c r="BA243" s="1826"/>
      <c r="BB243" s="1826"/>
      <c r="BC243" s="1826"/>
      <c r="BD243" s="1826"/>
      <c r="BE243" s="1826"/>
      <c r="BF243" s="1826"/>
      <c r="BG243" s="1639"/>
    </row>
    <row customHeight="1" ht="11.25">
      <c r="A244" s="1170" t="s">
        <v>1225</v>
      </c>
      <c r="B244" s="1170"/>
      <c r="C244" s="1170"/>
      <c r="D244" s="1164"/>
      <c r="E244" s="1174"/>
      <c r="F244" s="1832"/>
      <c r="G244" s="687" t="s">
        <v>103</v>
      </c>
      <c r="H244" s="2532" t="s">
        <v>105</v>
      </c>
      <c r="I244" s="2533"/>
      <c r="J244" s="2502"/>
      <c r="K244" s="2534" t="s">
        <v>1333</v>
      </c>
      <c r="L244" s="2124" t="s">
        <v>19</v>
      </c>
      <c r="M244" s="2125"/>
      <c r="N244" s="1987"/>
      <c r="O244" s="1181" t="s">
        <v>514</v>
      </c>
      <c r="P244" s="1182"/>
      <c r="Q244" s="1182"/>
      <c r="R244" s="1182"/>
      <c r="S244" s="1182"/>
      <c r="T244" s="1182"/>
      <c r="U244" s="1182"/>
      <c r="V244" s="1182"/>
      <c r="W244" s="1182"/>
      <c r="X244" s="1182"/>
      <c r="Y244" s="1182"/>
      <c r="Z244" s="1182"/>
      <c r="AA244" s="1182"/>
      <c r="AB244" s="1182"/>
      <c r="AC244" s="1182"/>
      <c r="AD244" s="1182"/>
      <c r="AE244" s="1182"/>
      <c r="AF244" s="2523">
        <v>8</v>
      </c>
      <c r="AG244" s="2524" t="s">
        <v>1302</v>
      </c>
      <c r="AH244" s="2524" t="s">
        <v>1334</v>
      </c>
      <c r="AI244" s="2523">
        <v>8</v>
      </c>
      <c r="AJ244" s="2524" t="s">
        <v>1302</v>
      </c>
      <c r="AK244" s="2524" t="s">
        <v>1334</v>
      </c>
      <c r="AL244" s="1989"/>
      <c r="AM244" s="1826"/>
      <c r="AN244" s="1826"/>
      <c r="AO244" s="1826"/>
      <c r="AP244" s="1826"/>
      <c r="AQ244" s="1826"/>
      <c r="AR244" s="1826"/>
      <c r="AS244" s="1826"/>
      <c r="AT244" s="1826"/>
      <c r="AU244" s="1826"/>
      <c r="AV244" s="1826"/>
      <c r="AW244" s="1826"/>
      <c r="AX244" s="1826"/>
      <c r="AY244" s="1826"/>
      <c r="AZ244" s="1826"/>
      <c r="BA244" s="1826"/>
      <c r="BB244" s="1826"/>
      <c r="BC244" s="1826"/>
      <c r="BD244" s="1826"/>
      <c r="BE244" s="1826"/>
      <c r="BF244" s="1826"/>
      <c r="BG244" s="1639"/>
    </row>
    <row customHeight="1" ht="11.25">
      <c r="A245" s="1170" t="s">
        <v>1225</v>
      </c>
      <c r="B245" s="1170"/>
      <c r="C245" s="1170"/>
      <c r="D245" s="1164"/>
      <c r="E245" s="1174"/>
      <c r="F245" s="1832"/>
      <c r="G245" s="1833"/>
      <c r="H245" s="2532" t="s">
        <v>514</v>
      </c>
      <c r="I245" s="2533"/>
      <c r="J245" s="2502"/>
      <c r="K245" s="2534"/>
      <c r="L245" s="2124"/>
      <c r="M245" s="2125"/>
      <c r="N245" s="2525"/>
      <c r="O245" s="2526">
        <v>1</v>
      </c>
      <c r="P245" s="2527" t="s">
        <v>19</v>
      </c>
      <c r="Q245" s="2530" t="s">
        <v>22</v>
      </c>
      <c r="R245" s="2530" t="s">
        <v>22</v>
      </c>
      <c r="S245" s="2530" t="s">
        <v>22</v>
      </c>
      <c r="T245" s="2530" t="s">
        <v>22</v>
      </c>
      <c r="U245" s="2530" t="s">
        <v>22</v>
      </c>
      <c r="V245" s="2530" t="s">
        <v>22</v>
      </c>
      <c r="W245" s="2530" t="s">
        <v>22</v>
      </c>
      <c r="X245" s="2530" t="s">
        <v>22</v>
      </c>
      <c r="Y245" s="2530"/>
      <c r="Z245" s="1179"/>
      <c r="AA245" s="1180"/>
      <c r="AB245" s="1180"/>
      <c r="AC245" s="1184"/>
      <c r="AD245" s="1184"/>
      <c r="AE245" s="1185"/>
      <c r="AF245" s="2523"/>
      <c r="AG245" s="2524"/>
      <c r="AH245" s="2524"/>
      <c r="AI245" s="2523"/>
      <c r="AJ245" s="2524"/>
      <c r="AK245" s="2524"/>
      <c r="AL245" s="1989"/>
      <c r="AM245" s="1826"/>
      <c r="AN245" s="1826"/>
      <c r="AO245" s="1826"/>
      <c r="AP245" s="1826"/>
      <c r="AQ245" s="1826"/>
      <c r="AR245" s="1826"/>
      <c r="AS245" s="1826"/>
      <c r="AT245" s="1826"/>
      <c r="AU245" s="1826"/>
      <c r="AV245" s="1826"/>
      <c r="AW245" s="1826"/>
      <c r="AX245" s="1826"/>
      <c r="AY245" s="1826"/>
      <c r="AZ245" s="1826"/>
      <c r="BA245" s="1826"/>
      <c r="BB245" s="1826"/>
      <c r="BC245" s="1826"/>
      <c r="BD245" s="1826"/>
      <c r="BE245" s="1826"/>
      <c r="BF245" s="1826"/>
      <c r="BG245" s="1639"/>
    </row>
    <row customHeight="1" ht="11.25">
      <c r="A246" s="1170" t="s">
        <v>1225</v>
      </c>
      <c r="B246" s="1170"/>
      <c r="C246" s="1170"/>
      <c r="D246" s="1164"/>
      <c r="E246" s="1174"/>
      <c r="F246" s="1832"/>
      <c r="G246" s="1833"/>
      <c r="H246" s="2532" t="s">
        <v>514</v>
      </c>
      <c r="I246" s="2533"/>
      <c r="J246" s="2502"/>
      <c r="K246" s="2534"/>
      <c r="L246" s="2124"/>
      <c r="M246" s="2125"/>
      <c r="N246" s="2525"/>
      <c r="O246" s="2526"/>
      <c r="P246" s="2528"/>
      <c r="Q246" s="2530"/>
      <c r="R246" s="2530"/>
      <c r="S246" s="2531"/>
      <c r="T246" s="2530"/>
      <c r="U246" s="2530"/>
      <c r="V246" s="2530"/>
      <c r="W246" s="2530"/>
      <c r="X246" s="2530"/>
      <c r="Y246" s="2530"/>
      <c r="Z246" s="1831"/>
      <c r="AA246" s="1797">
        <v>1</v>
      </c>
      <c r="AB246" s="1183" t="s">
        <v>1325</v>
      </c>
      <c r="AC246" s="1173">
        <v>17.29</v>
      </c>
      <c r="AD246" s="1183" t="str">
        <f>AB246</f>
        <v>     Амортизационные отчисления в результате переоценки основных средств и нематериальных активов</v>
      </c>
      <c r="AE246" s="1173">
        <v>17.29</v>
      </c>
      <c r="AF246" s="2523"/>
      <c r="AG246" s="2524"/>
      <c r="AH246" s="2524"/>
      <c r="AI246" s="2523"/>
      <c r="AJ246" s="2524"/>
      <c r="AK246" s="2524"/>
      <c r="AL246" s="1989"/>
      <c r="AM246" s="1826"/>
      <c r="AN246" s="1826"/>
      <c r="AO246" s="1826"/>
      <c r="AP246" s="1826"/>
      <c r="AQ246" s="1826"/>
      <c r="AR246" s="1826"/>
      <c r="AS246" s="1826"/>
      <c r="AT246" s="1826"/>
      <c r="AU246" s="1826"/>
      <c r="AV246" s="1826"/>
      <c r="AW246" s="1826"/>
      <c r="AX246" s="1826"/>
      <c r="AY246" s="1826"/>
      <c r="AZ246" s="1826"/>
      <c r="BA246" s="1826"/>
      <c r="BB246" s="1826"/>
      <c r="BC246" s="1826"/>
      <c r="BD246" s="1826"/>
      <c r="BE246" s="1826"/>
      <c r="BF246" s="1826"/>
      <c r="BG246" s="1639"/>
    </row>
    <row customHeight="1" ht="11.25">
      <c r="A247" s="1170" t="s">
        <v>1225</v>
      </c>
      <c r="B247" s="1170"/>
      <c r="C247" s="1170"/>
      <c r="D247" s="1164"/>
      <c r="E247" s="1174"/>
      <c r="F247" s="1832"/>
      <c r="G247" s="1833"/>
      <c r="H247" s="2532" t="s">
        <v>514</v>
      </c>
      <c r="I247" s="2533"/>
      <c r="J247" s="2502"/>
      <c r="K247" s="2534"/>
      <c r="L247" s="2124"/>
      <c r="M247" s="2125"/>
      <c r="N247" s="2525"/>
      <c r="O247" s="2526"/>
      <c r="P247" s="2529"/>
      <c r="Q247" s="2530"/>
      <c r="R247" s="2530"/>
      <c r="S247" s="2531"/>
      <c r="T247" s="2530"/>
      <c r="U247" s="2530"/>
      <c r="V247" s="2530"/>
      <c r="W247" s="2530"/>
      <c r="X247" s="2530"/>
      <c r="Y247" s="2530"/>
      <c r="Z247" s="1179"/>
      <c r="AA247" s="1180"/>
      <c r="AB247" s="1245" t="s">
        <v>1313</v>
      </c>
      <c r="AC247" s="1184"/>
      <c r="AD247" s="1184"/>
      <c r="AE247" s="1186"/>
      <c r="AF247" s="2523"/>
      <c r="AG247" s="2524"/>
      <c r="AH247" s="2524"/>
      <c r="AI247" s="2523"/>
      <c r="AJ247" s="2524"/>
      <c r="AK247" s="2524"/>
      <c r="AL247" s="1989"/>
      <c r="AM247" s="1826"/>
      <c r="AN247" s="1826"/>
      <c r="AO247" s="1826"/>
      <c r="AP247" s="1826"/>
      <c r="AQ247" s="1826"/>
      <c r="AR247" s="1826"/>
      <c r="AS247" s="1826"/>
      <c r="AT247" s="1826"/>
      <c r="AU247" s="1826"/>
      <c r="AV247" s="1826"/>
      <c r="AW247" s="1826"/>
      <c r="AX247" s="1826"/>
      <c r="AY247" s="1826"/>
      <c r="AZ247" s="1826"/>
      <c r="BA247" s="1826"/>
      <c r="BB247" s="1826"/>
      <c r="BC247" s="1826"/>
      <c r="BD247" s="1826"/>
      <c r="BE247" s="1826"/>
      <c r="BF247" s="1826"/>
      <c r="BG247" s="1639"/>
    </row>
    <row customHeight="1" ht="11.25">
      <c r="A248" s="1170" t="s">
        <v>1225</v>
      </c>
      <c r="B248" s="1170"/>
      <c r="C248" s="1170"/>
      <c r="D248" s="1164"/>
      <c r="E248" s="1174"/>
      <c r="F248" s="1832"/>
      <c r="G248" s="1833"/>
      <c r="H248" s="2532" t="s">
        <v>514</v>
      </c>
      <c r="I248" s="2533"/>
      <c r="J248" s="2502"/>
      <c r="K248" s="2534"/>
      <c r="L248" s="2124"/>
      <c r="M248" s="2125"/>
      <c r="N248" s="1179"/>
      <c r="O248" s="1180"/>
      <c r="P248" s="1172" t="s">
        <v>1314</v>
      </c>
      <c r="Q248" s="1180"/>
      <c r="R248" s="1180"/>
      <c r="S248" s="1180"/>
      <c r="T248" s="1180"/>
      <c r="U248" s="1180"/>
      <c r="V248" s="1180"/>
      <c r="W248" s="1180"/>
      <c r="X248" s="1180"/>
      <c r="Y248" s="1180"/>
      <c r="Z248" s="1180"/>
      <c r="AA248" s="1180"/>
      <c r="AB248" s="1180"/>
      <c r="AC248" s="1180"/>
      <c r="AD248" s="1180"/>
      <c r="AE248" s="1187"/>
      <c r="AF248" s="2523"/>
      <c r="AG248" s="2524"/>
      <c r="AH248" s="2524"/>
      <c r="AI248" s="2523"/>
      <c r="AJ248" s="2524"/>
      <c r="AK248" s="2524"/>
      <c r="AL248" s="1989"/>
      <c r="AM248" s="1826"/>
      <c r="AN248" s="1826"/>
      <c r="AO248" s="1826"/>
      <c r="AP248" s="1826"/>
      <c r="AQ248" s="1826"/>
      <c r="AR248" s="1826"/>
      <c r="AS248" s="1826"/>
      <c r="AT248" s="1826"/>
      <c r="AU248" s="1826"/>
      <c r="AV248" s="1826"/>
      <c r="AW248" s="1826"/>
      <c r="AX248" s="1826"/>
      <c r="AY248" s="1826"/>
      <c r="AZ248" s="1826"/>
      <c r="BA248" s="1826"/>
      <c r="BB248" s="1826"/>
      <c r="BC248" s="1826"/>
      <c r="BD248" s="1826"/>
      <c r="BE248" s="1826"/>
      <c r="BF248" s="1826"/>
      <c r="BG248" s="1639"/>
    </row>
    <row customHeight="1" ht="12">
      <c r="A249" s="1170" t="s">
        <v>1225</v>
      </c>
      <c r="B249" s="1170"/>
      <c r="C249" s="1170"/>
      <c r="D249" s="1164"/>
      <c r="E249" s="1174"/>
      <c r="F249" s="2554"/>
      <c r="G249" s="1194"/>
      <c r="H249" s="1194"/>
      <c r="I249" s="2552" t="s">
        <v>1300</v>
      </c>
      <c r="J249" s="2552"/>
      <c r="K249" s="2552"/>
      <c r="L249" s="1177"/>
      <c r="M249" s="1177"/>
      <c r="N249" s="1178"/>
      <c r="O249" s="1178"/>
      <c r="P249" s="1178"/>
      <c r="Q249" s="1178"/>
      <c r="R249" s="1178"/>
      <c r="S249" s="1178"/>
      <c r="T249" s="1178"/>
      <c r="U249" s="1178"/>
      <c r="V249" s="1178"/>
      <c r="W249" s="1178"/>
      <c r="X249" s="1178"/>
      <c r="Y249" s="1178"/>
      <c r="Z249" s="1178"/>
      <c r="AA249" s="1178"/>
      <c r="AB249" s="1178"/>
      <c r="AC249" s="1178"/>
      <c r="AD249" s="1178"/>
      <c r="AE249" s="1178"/>
      <c r="AF249" s="1178"/>
      <c r="AG249" s="1177"/>
      <c r="AH249" s="1177"/>
      <c r="AI249" s="1178"/>
      <c r="AJ249" s="1177"/>
      <c r="AK249" s="1178"/>
      <c r="AL249" s="1989"/>
      <c r="AM249" s="1826"/>
      <c r="AN249" s="1826"/>
      <c r="AO249" s="1826"/>
      <c r="AP249" s="1826"/>
      <c r="AQ249" s="1826"/>
      <c r="AR249" s="1826"/>
      <c r="AS249" s="1826"/>
      <c r="AT249" s="1826"/>
      <c r="AU249" s="1826"/>
      <c r="AV249" s="1826"/>
      <c r="AW249" s="1826"/>
      <c r="AX249" s="1826"/>
      <c r="AY249" s="1826"/>
      <c r="AZ249" s="1826"/>
      <c r="BA249" s="1826"/>
      <c r="BB249" s="1826"/>
      <c r="BC249" s="1826"/>
      <c r="BD249" s="1826"/>
      <c r="BE249" s="1826"/>
      <c r="BF249" s="1826"/>
      <c r="BG249" s="1639"/>
    </row>
    <row customHeight="1" ht="0.75">
      <c r="A250" s="1170" t="s">
        <v>1225</v>
      </c>
      <c r="B250" s="1170"/>
      <c r="C250" s="1170"/>
      <c r="D250" s="1164"/>
      <c r="E250" s="1174"/>
      <c r="F250" s="2553">
        <v>2025</v>
      </c>
      <c r="G250" s="2532"/>
      <c r="H250" s="2557" t="s">
        <v>514</v>
      </c>
      <c r="I250" s="2558"/>
      <c r="J250" s="2559"/>
      <c r="K250" s="2559"/>
      <c r="L250" s="2551"/>
      <c r="M250" s="2285"/>
      <c r="N250" s="2037"/>
      <c r="O250" s="2036"/>
      <c r="P250" s="2037"/>
      <c r="Q250" s="2037"/>
      <c r="R250" s="2037"/>
      <c r="S250" s="2037"/>
      <c r="T250" s="2037"/>
      <c r="U250" s="2037"/>
      <c r="V250" s="2037"/>
      <c r="W250" s="2037"/>
      <c r="X250" s="2037"/>
      <c r="Y250" s="2037"/>
      <c r="Z250" s="2037"/>
      <c r="AA250" s="2037"/>
      <c r="AB250" s="2037"/>
      <c r="AC250" s="2037"/>
      <c r="AD250" s="2037"/>
      <c r="AE250" s="2037"/>
      <c r="AF250" s="2555"/>
      <c r="AG250" s="2551"/>
      <c r="AH250" s="2551"/>
      <c r="AI250" s="2555"/>
      <c r="AJ250" s="2551"/>
      <c r="AK250" s="2551"/>
      <c r="AL250" s="1989"/>
      <c r="AM250" s="1826"/>
      <c r="AN250" s="1826"/>
      <c r="AO250" s="1826"/>
      <c r="AP250" s="1826"/>
      <c r="AQ250" s="1826"/>
      <c r="AR250" s="1826"/>
      <c r="AS250" s="1826"/>
      <c r="AT250" s="1826"/>
      <c r="AU250" s="1826"/>
      <c r="AV250" s="1826"/>
      <c r="AW250" s="1826"/>
      <c r="AX250" s="1826"/>
      <c r="AY250" s="1826"/>
      <c r="AZ250" s="1826"/>
      <c r="BA250" s="1826"/>
      <c r="BB250" s="1826"/>
      <c r="BC250" s="1826"/>
      <c r="BD250" s="1826"/>
      <c r="BE250" s="1826"/>
      <c r="BF250" s="1826"/>
      <c r="BG250" s="1639"/>
    </row>
    <row customHeight="1" ht="0.75">
      <c r="A251" s="1170" t="s">
        <v>1225</v>
      </c>
      <c r="B251" s="1170"/>
      <c r="C251" s="1170"/>
      <c r="D251" s="1164"/>
      <c r="E251" s="1174"/>
      <c r="F251" s="2553"/>
      <c r="G251" s="2532"/>
      <c r="H251" s="2557"/>
      <c r="I251" s="2558"/>
      <c r="J251" s="2559"/>
      <c r="K251" s="2559"/>
      <c r="L251" s="2551"/>
      <c r="M251" s="2285"/>
      <c r="N251" s="2560"/>
      <c r="O251" s="2561"/>
      <c r="P251" s="2605"/>
      <c r="Q251" s="2556"/>
      <c r="R251" s="2556"/>
      <c r="S251" s="2556"/>
      <c r="T251" s="2556"/>
      <c r="U251" s="2556"/>
      <c r="V251" s="2556"/>
      <c r="W251" s="2556"/>
      <c r="X251" s="2556"/>
      <c r="Y251" s="2556"/>
      <c r="Z251" s="2038"/>
      <c r="AA251" s="2039"/>
      <c r="AB251" s="2039"/>
      <c r="AC251" s="2040"/>
      <c r="AD251" s="2040"/>
      <c r="AE251" s="2041"/>
      <c r="AF251" s="2555"/>
      <c r="AG251" s="2551"/>
      <c r="AH251" s="2551"/>
      <c r="AI251" s="2555"/>
      <c r="AJ251" s="2551"/>
      <c r="AK251" s="2551"/>
      <c r="AL251" s="1989"/>
      <c r="AM251" s="1826"/>
      <c r="AN251" s="1826"/>
      <c r="AO251" s="1826"/>
      <c r="AP251" s="1826"/>
      <c r="AQ251" s="1826"/>
      <c r="AR251" s="1826"/>
      <c r="AS251" s="1826"/>
      <c r="AT251" s="1826"/>
      <c r="AU251" s="1826"/>
      <c r="AV251" s="1826"/>
      <c r="AW251" s="1826"/>
      <c r="AX251" s="1826"/>
      <c r="AY251" s="1826"/>
      <c r="AZ251" s="1826"/>
      <c r="BA251" s="1826"/>
      <c r="BB251" s="1826"/>
      <c r="BC251" s="1826"/>
      <c r="BD251" s="1826"/>
      <c r="BE251" s="1826"/>
      <c r="BF251" s="1826"/>
      <c r="BG251" s="1639"/>
    </row>
    <row customHeight="1" ht="0.75">
      <c r="A252" s="1170" t="s">
        <v>1225</v>
      </c>
      <c r="B252" s="1170"/>
      <c r="C252" s="1170"/>
      <c r="D252" s="1164"/>
      <c r="E252" s="1174"/>
      <c r="F252" s="2553"/>
      <c r="G252" s="2532"/>
      <c r="H252" s="2557"/>
      <c r="I252" s="2558"/>
      <c r="J252" s="2559"/>
      <c r="K252" s="2559"/>
      <c r="L252" s="2551"/>
      <c r="M252" s="2285"/>
      <c r="N252" s="2560"/>
      <c r="O252" s="2561"/>
      <c r="P252" s="2606"/>
      <c r="Q252" s="2556"/>
      <c r="R252" s="2556"/>
      <c r="S252" s="2556"/>
      <c r="T252" s="2556"/>
      <c r="U252" s="2556"/>
      <c r="V252" s="2556"/>
      <c r="W252" s="2556"/>
      <c r="X252" s="2556"/>
      <c r="Y252" s="2556"/>
      <c r="Z252" s="2042"/>
      <c r="AA252" s="2043"/>
      <c r="AB252" s="2044"/>
      <c r="AC252" s="2045"/>
      <c r="AD252" s="2044"/>
      <c r="AE252" s="2045"/>
      <c r="AF252" s="2555"/>
      <c r="AG252" s="2551"/>
      <c r="AH252" s="2551"/>
      <c r="AI252" s="2555"/>
      <c r="AJ252" s="2551"/>
      <c r="AK252" s="2551"/>
      <c r="AL252" s="1989"/>
      <c r="AM252" s="1826"/>
      <c r="AN252" s="1826"/>
      <c r="AO252" s="1826"/>
      <c r="AP252" s="1826"/>
      <c r="AQ252" s="1826"/>
      <c r="AR252" s="1826"/>
      <c r="AS252" s="1826"/>
      <c r="AT252" s="1826"/>
      <c r="AU252" s="1826"/>
      <c r="AV252" s="1826"/>
      <c r="AW252" s="1826"/>
      <c r="AX252" s="1826"/>
      <c r="AY252" s="1826"/>
      <c r="AZ252" s="1826"/>
      <c r="BA252" s="1826"/>
      <c r="BB252" s="1826"/>
      <c r="BC252" s="1826"/>
      <c r="BD252" s="1826"/>
      <c r="BE252" s="1826"/>
      <c r="BF252" s="1826"/>
      <c r="BG252" s="1639"/>
    </row>
    <row customHeight="1" ht="0.75">
      <c r="A253" s="1170" t="s">
        <v>1225</v>
      </c>
      <c r="B253" s="1170"/>
      <c r="C253" s="1170"/>
      <c r="D253" s="1164"/>
      <c r="E253" s="1174"/>
      <c r="F253" s="2553"/>
      <c r="G253" s="2532"/>
      <c r="H253" s="2557"/>
      <c r="I253" s="2558"/>
      <c r="J253" s="2559"/>
      <c r="K253" s="2559"/>
      <c r="L253" s="2551"/>
      <c r="M253" s="2285"/>
      <c r="N253" s="2560"/>
      <c r="O253" s="2561"/>
      <c r="P253" s="2607"/>
      <c r="Q253" s="2556"/>
      <c r="R253" s="2556"/>
      <c r="S253" s="2556"/>
      <c r="T253" s="2556"/>
      <c r="U253" s="2556"/>
      <c r="V253" s="2556"/>
      <c r="W253" s="2556"/>
      <c r="X253" s="2556"/>
      <c r="Y253" s="2556"/>
      <c r="Z253" s="2038"/>
      <c r="AA253" s="2039"/>
      <c r="AB253" s="2046"/>
      <c r="AC253" s="2040"/>
      <c r="AD253" s="2040"/>
      <c r="AE253" s="2047"/>
      <c r="AF253" s="2555"/>
      <c r="AG253" s="2551"/>
      <c r="AH253" s="2551"/>
      <c r="AI253" s="2555"/>
      <c r="AJ253" s="2551"/>
      <c r="AK253" s="2551"/>
      <c r="AL253" s="1989"/>
      <c r="AM253" s="1826"/>
      <c r="AN253" s="1826"/>
      <c r="AO253" s="1826"/>
      <c r="AP253" s="1826"/>
      <c r="AQ253" s="1826"/>
      <c r="AR253" s="1826"/>
      <c r="AS253" s="1826"/>
      <c r="AT253" s="1826"/>
      <c r="AU253" s="1826"/>
      <c r="AV253" s="1826"/>
      <c r="AW253" s="1826"/>
      <c r="AX253" s="1826"/>
      <c r="AY253" s="1826"/>
      <c r="AZ253" s="1826"/>
      <c r="BA253" s="1826"/>
      <c r="BB253" s="1826"/>
      <c r="BC253" s="1826"/>
      <c r="BD253" s="1826"/>
      <c r="BE253" s="1826"/>
      <c r="BF253" s="1826"/>
      <c r="BG253" s="1639"/>
    </row>
    <row customHeight="1" ht="0.75">
      <c r="A254" s="1170" t="s">
        <v>1225</v>
      </c>
      <c r="B254" s="1170"/>
      <c r="C254" s="1170"/>
      <c r="D254" s="1164"/>
      <c r="E254" s="1174"/>
      <c r="F254" s="2553"/>
      <c r="G254" s="2532"/>
      <c r="H254" s="2557"/>
      <c r="I254" s="2558"/>
      <c r="J254" s="2559"/>
      <c r="K254" s="2559"/>
      <c r="L254" s="2551"/>
      <c r="M254" s="2285"/>
      <c r="N254" s="2039"/>
      <c r="O254" s="2039"/>
      <c r="P254" s="2046"/>
      <c r="Q254" s="2039"/>
      <c r="R254" s="2039"/>
      <c r="S254" s="2039"/>
      <c r="T254" s="2039"/>
      <c r="U254" s="2039"/>
      <c r="V254" s="2039"/>
      <c r="W254" s="2039"/>
      <c r="X254" s="2039"/>
      <c r="Y254" s="2039"/>
      <c r="Z254" s="2039"/>
      <c r="AA254" s="2039"/>
      <c r="AB254" s="2039"/>
      <c r="AC254" s="2039"/>
      <c r="AD254" s="2039"/>
      <c r="AE254" s="2048"/>
      <c r="AF254" s="2555"/>
      <c r="AG254" s="2551"/>
      <c r="AH254" s="2551"/>
      <c r="AI254" s="2555"/>
      <c r="AJ254" s="2551"/>
      <c r="AK254" s="2551"/>
      <c r="AL254" s="1989"/>
      <c r="AM254" s="1826"/>
      <c r="AN254" s="1826"/>
      <c r="AO254" s="1826"/>
      <c r="AP254" s="1826"/>
      <c r="AQ254" s="1826"/>
      <c r="AR254" s="1826"/>
      <c r="AS254" s="1826"/>
      <c r="AT254" s="1826"/>
      <c r="AU254" s="1826"/>
      <c r="AV254" s="1826"/>
      <c r="AW254" s="1826"/>
      <c r="AX254" s="1826"/>
      <c r="AY254" s="1826"/>
      <c r="AZ254" s="1826"/>
      <c r="BA254" s="1826"/>
      <c r="BB254" s="1826"/>
      <c r="BC254" s="1826"/>
      <c r="BD254" s="1826"/>
      <c r="BE254" s="1826"/>
      <c r="BF254" s="1826"/>
      <c r="BG254" s="1639"/>
    </row>
    <row customHeight="1" ht="12">
      <c r="A255" s="1170" t="s">
        <v>1225</v>
      </c>
      <c r="B255" s="1170"/>
      <c r="C255" s="1170"/>
      <c r="D255" s="1164"/>
      <c r="E255" s="1174"/>
      <c r="F255" s="2554"/>
      <c r="G255" s="1194"/>
      <c r="H255" s="1194"/>
      <c r="I255" s="2552" t="s">
        <v>1300</v>
      </c>
      <c r="J255" s="2552"/>
      <c r="K255" s="2552"/>
      <c r="L255" s="1177"/>
      <c r="M255" s="1177"/>
      <c r="N255" s="1178"/>
      <c r="O255" s="1178"/>
      <c r="P255" s="1178"/>
      <c r="Q255" s="1178"/>
      <c r="R255" s="1178"/>
      <c r="S255" s="1178"/>
      <c r="T255" s="1178"/>
      <c r="U255" s="1178"/>
      <c r="V255" s="1178"/>
      <c r="W255" s="1178"/>
      <c r="X255" s="1178"/>
      <c r="Y255" s="1178"/>
      <c r="Z255" s="1178"/>
      <c r="AA255" s="1178"/>
      <c r="AB255" s="1178"/>
      <c r="AC255" s="1178"/>
      <c r="AD255" s="1178"/>
      <c r="AE255" s="1178"/>
      <c r="AF255" s="1178"/>
      <c r="AG255" s="1177"/>
      <c r="AH255" s="1177"/>
      <c r="AI255" s="1178"/>
      <c r="AJ255" s="1177"/>
      <c r="AK255" s="1178"/>
      <c r="AL255" s="1989"/>
      <c r="AM255" s="1826"/>
      <c r="AN255" s="1826"/>
      <c r="AO255" s="1826"/>
      <c r="AP255" s="1826"/>
      <c r="AQ255" s="1826"/>
      <c r="AR255" s="1826"/>
      <c r="AS255" s="1826"/>
      <c r="AT255" s="1826"/>
      <c r="AU255" s="1826"/>
      <c r="AV255" s="1826"/>
      <c r="AW255" s="1826"/>
      <c r="AX255" s="1826"/>
      <c r="AY255" s="1826"/>
      <c r="AZ255" s="1826"/>
      <c r="BA255" s="1826"/>
      <c r="BB255" s="1826"/>
      <c r="BC255" s="1826"/>
      <c r="BD255" s="1826"/>
      <c r="BE255" s="1826"/>
      <c r="BF255" s="1826"/>
      <c r="BG255" s="1639"/>
    </row>
    <row customHeight="1" ht="0.75">
      <c r="A256" s="1170" t="s">
        <v>1225</v>
      </c>
      <c r="B256" s="1170"/>
      <c r="C256" s="1170"/>
      <c r="D256" s="1164"/>
      <c r="E256" s="1174"/>
      <c r="F256" s="2553">
        <v>2026</v>
      </c>
      <c r="G256" s="2532"/>
      <c r="H256" s="2557" t="s">
        <v>514</v>
      </c>
      <c r="I256" s="2558"/>
      <c r="J256" s="2559"/>
      <c r="K256" s="2559"/>
      <c r="L256" s="2551"/>
      <c r="M256" s="2285"/>
      <c r="N256" s="2037"/>
      <c r="O256" s="2036"/>
      <c r="P256" s="2037"/>
      <c r="Q256" s="2037"/>
      <c r="R256" s="2037"/>
      <c r="S256" s="2037"/>
      <c r="T256" s="2037"/>
      <c r="U256" s="2037"/>
      <c r="V256" s="2037"/>
      <c r="W256" s="2037"/>
      <c r="X256" s="2037"/>
      <c r="Y256" s="2037"/>
      <c r="Z256" s="2037"/>
      <c r="AA256" s="2037"/>
      <c r="AB256" s="2037"/>
      <c r="AC256" s="2037"/>
      <c r="AD256" s="2037"/>
      <c r="AE256" s="2037"/>
      <c r="AF256" s="2555"/>
      <c r="AG256" s="2551"/>
      <c r="AH256" s="2551"/>
      <c r="AI256" s="2555"/>
      <c r="AJ256" s="2551"/>
      <c r="AK256" s="2551"/>
      <c r="AL256" s="1989"/>
      <c r="AM256" s="1826"/>
      <c r="AN256" s="1826"/>
      <c r="AO256" s="1826"/>
      <c r="AP256" s="1826"/>
      <c r="AQ256" s="1826"/>
      <c r="AR256" s="1826"/>
      <c r="AS256" s="1826"/>
      <c r="AT256" s="1826"/>
      <c r="AU256" s="1826"/>
      <c r="AV256" s="1826"/>
      <c r="AW256" s="1826"/>
      <c r="AX256" s="1826"/>
      <c r="AY256" s="1826"/>
      <c r="AZ256" s="1826"/>
      <c r="BA256" s="1826"/>
      <c r="BB256" s="1826"/>
      <c r="BC256" s="1826"/>
      <c r="BD256" s="1826"/>
      <c r="BE256" s="1826"/>
      <c r="BF256" s="1826"/>
      <c r="BG256" s="1639"/>
    </row>
    <row customHeight="1" ht="0.75">
      <c r="A257" s="1170" t="s">
        <v>1225</v>
      </c>
      <c r="B257" s="1170"/>
      <c r="C257" s="1170"/>
      <c r="D257" s="1164"/>
      <c r="E257" s="1174"/>
      <c r="F257" s="2553"/>
      <c r="G257" s="2532"/>
      <c r="H257" s="2557"/>
      <c r="I257" s="2558"/>
      <c r="J257" s="2559"/>
      <c r="K257" s="2559"/>
      <c r="L257" s="2551"/>
      <c r="M257" s="2285"/>
      <c r="N257" s="2560"/>
      <c r="O257" s="2561"/>
      <c r="P257" s="2605"/>
      <c r="Q257" s="2556"/>
      <c r="R257" s="2556"/>
      <c r="S257" s="2556"/>
      <c r="T257" s="2556"/>
      <c r="U257" s="2556"/>
      <c r="V257" s="2556"/>
      <c r="W257" s="2556"/>
      <c r="X257" s="2556"/>
      <c r="Y257" s="2556"/>
      <c r="Z257" s="2038"/>
      <c r="AA257" s="2039"/>
      <c r="AB257" s="2039"/>
      <c r="AC257" s="2040"/>
      <c r="AD257" s="2040"/>
      <c r="AE257" s="2041"/>
      <c r="AF257" s="2555"/>
      <c r="AG257" s="2551"/>
      <c r="AH257" s="2551"/>
      <c r="AI257" s="2555"/>
      <c r="AJ257" s="2551"/>
      <c r="AK257" s="2551"/>
      <c r="AL257" s="1989"/>
      <c r="AM257" s="1826"/>
      <c r="AN257" s="1826"/>
      <c r="AO257" s="1826"/>
      <c r="AP257" s="1826"/>
      <c r="AQ257" s="1826"/>
      <c r="AR257" s="1826"/>
      <c r="AS257" s="1826"/>
      <c r="AT257" s="1826"/>
      <c r="AU257" s="1826"/>
      <c r="AV257" s="1826"/>
      <c r="AW257" s="1826"/>
      <c r="AX257" s="1826"/>
      <c r="AY257" s="1826"/>
      <c r="AZ257" s="1826"/>
      <c r="BA257" s="1826"/>
      <c r="BB257" s="1826"/>
      <c r="BC257" s="1826"/>
      <c r="BD257" s="1826"/>
      <c r="BE257" s="1826"/>
      <c r="BF257" s="1826"/>
      <c r="BG257" s="1639"/>
    </row>
    <row customHeight="1" ht="0.75">
      <c r="A258" s="1170" t="s">
        <v>1225</v>
      </c>
      <c r="B258" s="1170"/>
      <c r="C258" s="1170"/>
      <c r="D258" s="1164"/>
      <c r="E258" s="1174"/>
      <c r="F258" s="2553"/>
      <c r="G258" s="2532"/>
      <c r="H258" s="2557"/>
      <c r="I258" s="2558"/>
      <c r="J258" s="2559"/>
      <c r="K258" s="2559"/>
      <c r="L258" s="2551"/>
      <c r="M258" s="2285"/>
      <c r="N258" s="2560"/>
      <c r="O258" s="2561"/>
      <c r="P258" s="2606"/>
      <c r="Q258" s="2556"/>
      <c r="R258" s="2556"/>
      <c r="S258" s="2556"/>
      <c r="T258" s="2556"/>
      <c r="U258" s="2556"/>
      <c r="V258" s="2556"/>
      <c r="W258" s="2556"/>
      <c r="X258" s="2556"/>
      <c r="Y258" s="2556"/>
      <c r="Z258" s="2042"/>
      <c r="AA258" s="2043"/>
      <c r="AB258" s="2044"/>
      <c r="AC258" s="2045"/>
      <c r="AD258" s="2044"/>
      <c r="AE258" s="2045"/>
      <c r="AF258" s="2555"/>
      <c r="AG258" s="2551"/>
      <c r="AH258" s="2551"/>
      <c r="AI258" s="2555"/>
      <c r="AJ258" s="2551"/>
      <c r="AK258" s="2551"/>
      <c r="AL258" s="1989"/>
      <c r="AM258" s="1826"/>
      <c r="AN258" s="1826"/>
      <c r="AO258" s="1826"/>
      <c r="AP258" s="1826"/>
      <c r="AQ258" s="1826"/>
      <c r="AR258" s="1826"/>
      <c r="AS258" s="1826"/>
      <c r="AT258" s="1826"/>
      <c r="AU258" s="1826"/>
      <c r="AV258" s="1826"/>
      <c r="AW258" s="1826"/>
      <c r="AX258" s="1826"/>
      <c r="AY258" s="1826"/>
      <c r="AZ258" s="1826"/>
      <c r="BA258" s="1826"/>
      <c r="BB258" s="1826"/>
      <c r="BC258" s="1826"/>
      <c r="BD258" s="1826"/>
      <c r="BE258" s="1826"/>
      <c r="BF258" s="1826"/>
      <c r="BG258" s="1639"/>
    </row>
    <row customHeight="1" ht="0.75">
      <c r="A259" s="1170" t="s">
        <v>1225</v>
      </c>
      <c r="B259" s="1170"/>
      <c r="C259" s="1170"/>
      <c r="D259" s="1164"/>
      <c r="E259" s="1174"/>
      <c r="F259" s="2553"/>
      <c r="G259" s="2532"/>
      <c r="H259" s="2557"/>
      <c r="I259" s="2558"/>
      <c r="J259" s="2559"/>
      <c r="K259" s="2559"/>
      <c r="L259" s="2551"/>
      <c r="M259" s="2285"/>
      <c r="N259" s="2560"/>
      <c r="O259" s="2561"/>
      <c r="P259" s="2607"/>
      <c r="Q259" s="2556"/>
      <c r="R259" s="2556"/>
      <c r="S259" s="2556"/>
      <c r="T259" s="2556"/>
      <c r="U259" s="2556"/>
      <c r="V259" s="2556"/>
      <c r="W259" s="2556"/>
      <c r="X259" s="2556"/>
      <c r="Y259" s="2556"/>
      <c r="Z259" s="2038"/>
      <c r="AA259" s="2039"/>
      <c r="AB259" s="2046"/>
      <c r="AC259" s="2040"/>
      <c r="AD259" s="2040"/>
      <c r="AE259" s="2047"/>
      <c r="AF259" s="2555"/>
      <c r="AG259" s="2551"/>
      <c r="AH259" s="2551"/>
      <c r="AI259" s="2555"/>
      <c r="AJ259" s="2551"/>
      <c r="AK259" s="2551"/>
      <c r="AL259" s="1989"/>
      <c r="AM259" s="1826"/>
      <c r="AN259" s="1826"/>
      <c r="AO259" s="1826"/>
      <c r="AP259" s="1826"/>
      <c r="AQ259" s="1826"/>
      <c r="AR259" s="1826"/>
      <c r="AS259" s="1826"/>
      <c r="AT259" s="1826"/>
      <c r="AU259" s="1826"/>
      <c r="AV259" s="1826"/>
      <c r="AW259" s="1826"/>
      <c r="AX259" s="1826"/>
      <c r="AY259" s="1826"/>
      <c r="AZ259" s="1826"/>
      <c r="BA259" s="1826"/>
      <c r="BB259" s="1826"/>
      <c r="BC259" s="1826"/>
      <c r="BD259" s="1826"/>
      <c r="BE259" s="1826"/>
      <c r="BF259" s="1826"/>
      <c r="BG259" s="1639"/>
    </row>
    <row customHeight="1" ht="0.75">
      <c r="A260" s="1170" t="s">
        <v>1225</v>
      </c>
      <c r="B260" s="1170"/>
      <c r="C260" s="1170"/>
      <c r="D260" s="1164"/>
      <c r="E260" s="1174"/>
      <c r="F260" s="2553"/>
      <c r="G260" s="2532"/>
      <c r="H260" s="2557"/>
      <c r="I260" s="2558"/>
      <c r="J260" s="2559"/>
      <c r="K260" s="2559"/>
      <c r="L260" s="2551"/>
      <c r="M260" s="2285"/>
      <c r="N260" s="2039"/>
      <c r="O260" s="2039"/>
      <c r="P260" s="2046"/>
      <c r="Q260" s="2039"/>
      <c r="R260" s="2039"/>
      <c r="S260" s="2039"/>
      <c r="T260" s="2039"/>
      <c r="U260" s="2039"/>
      <c r="V260" s="2039"/>
      <c r="W260" s="2039"/>
      <c r="X260" s="2039"/>
      <c r="Y260" s="2039"/>
      <c r="Z260" s="2039"/>
      <c r="AA260" s="2039"/>
      <c r="AB260" s="2039"/>
      <c r="AC260" s="2039"/>
      <c r="AD260" s="2039"/>
      <c r="AE260" s="2048"/>
      <c r="AF260" s="2555"/>
      <c r="AG260" s="2551"/>
      <c r="AH260" s="2551"/>
      <c r="AI260" s="2555"/>
      <c r="AJ260" s="2551"/>
      <c r="AK260" s="2551"/>
      <c r="AL260" s="1989"/>
      <c r="AM260" s="1826"/>
      <c r="AN260" s="1826"/>
      <c r="AO260" s="1826"/>
      <c r="AP260" s="1826"/>
      <c r="AQ260" s="1826"/>
      <c r="AR260" s="1826"/>
      <c r="AS260" s="1826"/>
      <c r="AT260" s="1826"/>
      <c r="AU260" s="1826"/>
      <c r="AV260" s="1826"/>
      <c r="AW260" s="1826"/>
      <c r="AX260" s="1826"/>
      <c r="AY260" s="1826"/>
      <c r="AZ260" s="1826"/>
      <c r="BA260" s="1826"/>
      <c r="BB260" s="1826"/>
      <c r="BC260" s="1826"/>
      <c r="BD260" s="1826"/>
      <c r="BE260" s="1826"/>
      <c r="BF260" s="1826"/>
      <c r="BG260" s="1639"/>
    </row>
    <row customHeight="1" ht="12">
      <c r="A261" s="1170" t="s">
        <v>1225</v>
      </c>
      <c r="B261" s="1170"/>
      <c r="C261" s="1170"/>
      <c r="D261" s="1164"/>
      <c r="E261" s="1174"/>
      <c r="F261" s="2554"/>
      <c r="G261" s="1194"/>
      <c r="H261" s="1194"/>
      <c r="I261" s="2552" t="s">
        <v>1300</v>
      </c>
      <c r="J261" s="2552"/>
      <c r="K261" s="2552"/>
      <c r="L261" s="1177"/>
      <c r="M261" s="1177"/>
      <c r="N261" s="1178"/>
      <c r="O261" s="1178"/>
      <c r="P261" s="1178"/>
      <c r="Q261" s="1178"/>
      <c r="R261" s="1178"/>
      <c r="S261" s="1178"/>
      <c r="T261" s="1178"/>
      <c r="U261" s="1178"/>
      <c r="V261" s="1178"/>
      <c r="W261" s="1178"/>
      <c r="X261" s="1178"/>
      <c r="Y261" s="1178"/>
      <c r="Z261" s="1178"/>
      <c r="AA261" s="1178"/>
      <c r="AB261" s="1178"/>
      <c r="AC261" s="1178"/>
      <c r="AD261" s="1178"/>
      <c r="AE261" s="1178"/>
      <c r="AF261" s="1178"/>
      <c r="AG261" s="1177"/>
      <c r="AH261" s="1177"/>
      <c r="AI261" s="1178"/>
      <c r="AJ261" s="1177"/>
      <c r="AK261" s="1178"/>
      <c r="AL261" s="1989"/>
      <c r="AM261" s="1826"/>
      <c r="AN261" s="1826"/>
      <c r="AO261" s="1826"/>
      <c r="AP261" s="1826"/>
      <c r="AQ261" s="1826"/>
      <c r="AR261" s="1826"/>
      <c r="AS261" s="1826"/>
      <c r="AT261" s="1826"/>
      <c r="AU261" s="1826"/>
      <c r="AV261" s="1826"/>
      <c r="AW261" s="1826"/>
      <c r="AX261" s="1826"/>
      <c r="AY261" s="1826"/>
      <c r="AZ261" s="1826"/>
      <c r="BA261" s="1826"/>
      <c r="BB261" s="1826"/>
      <c r="BC261" s="1826"/>
      <c r="BD261" s="1826"/>
      <c r="BE261" s="1826"/>
      <c r="BF261" s="1826"/>
      <c r="BG261" s="1639"/>
    </row>
    <row customHeight="1" ht="0.75">
      <c r="A262" s="1170" t="s">
        <v>1225</v>
      </c>
      <c r="B262" s="1170"/>
      <c r="C262" s="1170"/>
      <c r="D262" s="1164"/>
      <c r="E262" s="1174"/>
      <c r="F262" s="2553">
        <v>2027</v>
      </c>
      <c r="G262" s="2532"/>
      <c r="H262" s="2557" t="s">
        <v>514</v>
      </c>
      <c r="I262" s="2558"/>
      <c r="J262" s="2559"/>
      <c r="K262" s="2559"/>
      <c r="L262" s="2551"/>
      <c r="M262" s="2285"/>
      <c r="N262" s="2037"/>
      <c r="O262" s="2036"/>
      <c r="P262" s="2037"/>
      <c r="Q262" s="2037"/>
      <c r="R262" s="2037"/>
      <c r="S262" s="2037"/>
      <c r="T262" s="2037"/>
      <c r="U262" s="2037"/>
      <c r="V262" s="2037"/>
      <c r="W262" s="2037"/>
      <c r="X262" s="2037"/>
      <c r="Y262" s="2037"/>
      <c r="Z262" s="2037"/>
      <c r="AA262" s="2037"/>
      <c r="AB262" s="2037"/>
      <c r="AC262" s="2037"/>
      <c r="AD262" s="2037"/>
      <c r="AE262" s="2037"/>
      <c r="AF262" s="2555"/>
      <c r="AG262" s="2551"/>
      <c r="AH262" s="2551"/>
      <c r="AI262" s="2555"/>
      <c r="AJ262" s="2551"/>
      <c r="AK262" s="2551"/>
      <c r="AL262" s="1989"/>
      <c r="AM262" s="1826"/>
      <c r="AN262" s="1826"/>
      <c r="AO262" s="1826"/>
      <c r="AP262" s="1826"/>
      <c r="AQ262" s="1826"/>
      <c r="AR262" s="1826"/>
      <c r="AS262" s="1826"/>
      <c r="AT262" s="1826"/>
      <c r="AU262" s="1826"/>
      <c r="AV262" s="1826"/>
      <c r="AW262" s="1826"/>
      <c r="AX262" s="1826"/>
      <c r="AY262" s="1826"/>
      <c r="AZ262" s="1826"/>
      <c r="BA262" s="1826"/>
      <c r="BB262" s="1826"/>
      <c r="BC262" s="1826"/>
      <c r="BD262" s="1826"/>
      <c r="BE262" s="1826"/>
      <c r="BF262" s="1826"/>
      <c r="BG262" s="1639"/>
    </row>
    <row customHeight="1" ht="0.75">
      <c r="A263" s="1170" t="s">
        <v>1225</v>
      </c>
      <c r="B263" s="1170"/>
      <c r="C263" s="1170"/>
      <c r="D263" s="1164"/>
      <c r="E263" s="1174"/>
      <c r="F263" s="2553"/>
      <c r="G263" s="2532"/>
      <c r="H263" s="2557"/>
      <c r="I263" s="2558"/>
      <c r="J263" s="2559"/>
      <c r="K263" s="2559"/>
      <c r="L263" s="2551"/>
      <c r="M263" s="2285"/>
      <c r="N263" s="2560"/>
      <c r="O263" s="2561"/>
      <c r="P263" s="2605"/>
      <c r="Q263" s="2556"/>
      <c r="R263" s="2556"/>
      <c r="S263" s="2556"/>
      <c r="T263" s="2556"/>
      <c r="U263" s="2556"/>
      <c r="V263" s="2556"/>
      <c r="W263" s="2556"/>
      <c r="X263" s="2556"/>
      <c r="Y263" s="2556"/>
      <c r="Z263" s="2038"/>
      <c r="AA263" s="2039"/>
      <c r="AB263" s="2039"/>
      <c r="AC263" s="2040"/>
      <c r="AD263" s="2040"/>
      <c r="AE263" s="2041"/>
      <c r="AF263" s="2555"/>
      <c r="AG263" s="2551"/>
      <c r="AH263" s="2551"/>
      <c r="AI263" s="2555"/>
      <c r="AJ263" s="2551"/>
      <c r="AK263" s="2551"/>
      <c r="AL263" s="1989"/>
      <c r="AM263" s="1826"/>
      <c r="AN263" s="1826"/>
      <c r="AO263" s="1826"/>
      <c r="AP263" s="1826"/>
      <c r="AQ263" s="1826"/>
      <c r="AR263" s="1826"/>
      <c r="AS263" s="1826"/>
      <c r="AT263" s="1826"/>
      <c r="AU263" s="1826"/>
      <c r="AV263" s="1826"/>
      <c r="AW263" s="1826"/>
      <c r="AX263" s="1826"/>
      <c r="AY263" s="1826"/>
      <c r="AZ263" s="1826"/>
      <c r="BA263" s="1826"/>
      <c r="BB263" s="1826"/>
      <c r="BC263" s="1826"/>
      <c r="BD263" s="1826"/>
      <c r="BE263" s="1826"/>
      <c r="BF263" s="1826"/>
      <c r="BG263" s="1639"/>
    </row>
    <row customHeight="1" ht="0.75">
      <c r="A264" s="1170" t="s">
        <v>1225</v>
      </c>
      <c r="B264" s="1170"/>
      <c r="C264" s="1170"/>
      <c r="D264" s="1164"/>
      <c r="E264" s="1174"/>
      <c r="F264" s="2553"/>
      <c r="G264" s="2532"/>
      <c r="H264" s="2557"/>
      <c r="I264" s="2558"/>
      <c r="J264" s="2559"/>
      <c r="K264" s="2559"/>
      <c r="L264" s="2551"/>
      <c r="M264" s="2285"/>
      <c r="N264" s="2560"/>
      <c r="O264" s="2561"/>
      <c r="P264" s="2606"/>
      <c r="Q264" s="2556"/>
      <c r="R264" s="2556"/>
      <c r="S264" s="2556"/>
      <c r="T264" s="2556"/>
      <c r="U264" s="2556"/>
      <c r="V264" s="2556"/>
      <c r="W264" s="2556"/>
      <c r="X264" s="2556"/>
      <c r="Y264" s="2556"/>
      <c r="Z264" s="2042"/>
      <c r="AA264" s="2043"/>
      <c r="AB264" s="2044"/>
      <c r="AC264" s="2045"/>
      <c r="AD264" s="2044"/>
      <c r="AE264" s="2045"/>
      <c r="AF264" s="2555"/>
      <c r="AG264" s="2551"/>
      <c r="AH264" s="2551"/>
      <c r="AI264" s="2555"/>
      <c r="AJ264" s="2551"/>
      <c r="AK264" s="2551"/>
      <c r="AL264" s="1989"/>
      <c r="AM264" s="1826"/>
      <c r="AN264" s="1826"/>
      <c r="AO264" s="1826"/>
      <c r="AP264" s="1826"/>
      <c r="AQ264" s="1826"/>
      <c r="AR264" s="1826"/>
      <c r="AS264" s="1826"/>
      <c r="AT264" s="1826"/>
      <c r="AU264" s="1826"/>
      <c r="AV264" s="1826"/>
      <c r="AW264" s="1826"/>
      <c r="AX264" s="1826"/>
      <c r="AY264" s="1826"/>
      <c r="AZ264" s="1826"/>
      <c r="BA264" s="1826"/>
      <c r="BB264" s="1826"/>
      <c r="BC264" s="1826"/>
      <c r="BD264" s="1826"/>
      <c r="BE264" s="1826"/>
      <c r="BF264" s="1826"/>
      <c r="BG264" s="1639"/>
    </row>
    <row customHeight="1" ht="0.75">
      <c r="A265" s="1170" t="s">
        <v>1225</v>
      </c>
      <c r="B265" s="1170"/>
      <c r="C265" s="1170"/>
      <c r="D265" s="1164"/>
      <c r="E265" s="1174"/>
      <c r="F265" s="2553"/>
      <c r="G265" s="2532"/>
      <c r="H265" s="2557"/>
      <c r="I265" s="2558"/>
      <c r="J265" s="2559"/>
      <c r="K265" s="2559"/>
      <c r="L265" s="2551"/>
      <c r="M265" s="2285"/>
      <c r="N265" s="2560"/>
      <c r="O265" s="2561"/>
      <c r="P265" s="2607"/>
      <c r="Q265" s="2556"/>
      <c r="R265" s="2556"/>
      <c r="S265" s="2556"/>
      <c r="T265" s="2556"/>
      <c r="U265" s="2556"/>
      <c r="V265" s="2556"/>
      <c r="W265" s="2556"/>
      <c r="X265" s="2556"/>
      <c r="Y265" s="2556"/>
      <c r="Z265" s="2038"/>
      <c r="AA265" s="2039"/>
      <c r="AB265" s="2046"/>
      <c r="AC265" s="2040"/>
      <c r="AD265" s="2040"/>
      <c r="AE265" s="2047"/>
      <c r="AF265" s="2555"/>
      <c r="AG265" s="2551"/>
      <c r="AH265" s="2551"/>
      <c r="AI265" s="2555"/>
      <c r="AJ265" s="2551"/>
      <c r="AK265" s="2551"/>
      <c r="AL265" s="1989"/>
      <c r="AM265" s="1826"/>
      <c r="AN265" s="1826"/>
      <c r="AO265" s="1826"/>
      <c r="AP265" s="1826"/>
      <c r="AQ265" s="1826"/>
      <c r="AR265" s="1826"/>
      <c r="AS265" s="1826"/>
      <c r="AT265" s="1826"/>
      <c r="AU265" s="1826"/>
      <c r="AV265" s="1826"/>
      <c r="AW265" s="1826"/>
      <c r="AX265" s="1826"/>
      <c r="AY265" s="1826"/>
      <c r="AZ265" s="1826"/>
      <c r="BA265" s="1826"/>
      <c r="BB265" s="1826"/>
      <c r="BC265" s="1826"/>
      <c r="BD265" s="1826"/>
      <c r="BE265" s="1826"/>
      <c r="BF265" s="1826"/>
      <c r="BG265" s="1639"/>
    </row>
    <row customHeight="1" ht="0.75">
      <c r="A266" s="1170" t="s">
        <v>1225</v>
      </c>
      <c r="B266" s="1170"/>
      <c r="C266" s="1170"/>
      <c r="D266" s="1164"/>
      <c r="E266" s="1174"/>
      <c r="F266" s="2553"/>
      <c r="G266" s="2532"/>
      <c r="H266" s="2557"/>
      <c r="I266" s="2558"/>
      <c r="J266" s="2559"/>
      <c r="K266" s="2559"/>
      <c r="L266" s="2551"/>
      <c r="M266" s="2285"/>
      <c r="N266" s="2039"/>
      <c r="O266" s="2039"/>
      <c r="P266" s="2046"/>
      <c r="Q266" s="2039"/>
      <c r="R266" s="2039"/>
      <c r="S266" s="2039"/>
      <c r="T266" s="2039"/>
      <c r="U266" s="2039"/>
      <c r="V266" s="2039"/>
      <c r="W266" s="2039"/>
      <c r="X266" s="2039"/>
      <c r="Y266" s="2039"/>
      <c r="Z266" s="2039"/>
      <c r="AA266" s="2039"/>
      <c r="AB266" s="2039"/>
      <c r="AC266" s="2039"/>
      <c r="AD266" s="2039"/>
      <c r="AE266" s="2048"/>
      <c r="AF266" s="2555"/>
      <c r="AG266" s="2551"/>
      <c r="AH266" s="2551"/>
      <c r="AI266" s="2555"/>
      <c r="AJ266" s="2551"/>
      <c r="AK266" s="2551"/>
      <c r="AL266" s="1989"/>
      <c r="AM266" s="1826"/>
      <c r="AN266" s="1826"/>
      <c r="AO266" s="1826"/>
      <c r="AP266" s="1826"/>
      <c r="AQ266" s="1826"/>
      <c r="AR266" s="1826"/>
      <c r="AS266" s="1826"/>
      <c r="AT266" s="1826"/>
      <c r="AU266" s="1826"/>
      <c r="AV266" s="1826"/>
      <c r="AW266" s="1826"/>
      <c r="AX266" s="1826"/>
      <c r="AY266" s="1826"/>
      <c r="AZ266" s="1826"/>
      <c r="BA266" s="1826"/>
      <c r="BB266" s="1826"/>
      <c r="BC266" s="1826"/>
      <c r="BD266" s="1826"/>
      <c r="BE266" s="1826"/>
      <c r="BF266" s="1826"/>
      <c r="BG266" s="1639"/>
    </row>
    <row customHeight="1" ht="12">
      <c r="A267" s="1170" t="s">
        <v>1225</v>
      </c>
      <c r="B267" s="1170"/>
      <c r="C267" s="1170"/>
      <c r="D267" s="1164"/>
      <c r="E267" s="1174"/>
      <c r="F267" s="2554"/>
      <c r="G267" s="1194"/>
      <c r="H267" s="1194"/>
      <c r="I267" s="2552" t="s">
        <v>1300</v>
      </c>
      <c r="J267" s="2552"/>
      <c r="K267" s="2552"/>
      <c r="L267" s="1177"/>
      <c r="M267" s="1177"/>
      <c r="N267" s="1178"/>
      <c r="O267" s="1178"/>
      <c r="P267" s="1178"/>
      <c r="Q267" s="1178"/>
      <c r="R267" s="1178"/>
      <c r="S267" s="1178"/>
      <c r="T267" s="1178"/>
      <c r="U267" s="1178"/>
      <c r="V267" s="1178"/>
      <c r="W267" s="1178"/>
      <c r="X267" s="1178"/>
      <c r="Y267" s="1178"/>
      <c r="Z267" s="1178"/>
      <c r="AA267" s="1178"/>
      <c r="AB267" s="1178"/>
      <c r="AC267" s="1178"/>
      <c r="AD267" s="1178"/>
      <c r="AE267" s="1178"/>
      <c r="AF267" s="1178"/>
      <c r="AG267" s="1177"/>
      <c r="AH267" s="1177"/>
      <c r="AI267" s="1178"/>
      <c r="AJ267" s="1177"/>
      <c r="AK267" s="1178"/>
      <c r="AL267" s="1989"/>
      <c r="AM267" s="1826"/>
      <c r="AN267" s="1826"/>
      <c r="AO267" s="1826"/>
      <c r="AP267" s="1826"/>
      <c r="AQ267" s="1826"/>
      <c r="AR267" s="1826"/>
      <c r="AS267" s="1826"/>
      <c r="AT267" s="1826"/>
      <c r="AU267" s="1826"/>
      <c r="AV267" s="1826"/>
      <c r="AW267" s="1826"/>
      <c r="AX267" s="1826"/>
      <c r="AY267" s="1826"/>
      <c r="AZ267" s="1826"/>
      <c r="BA267" s="1826"/>
      <c r="BB267" s="1826"/>
      <c r="BC267" s="1826"/>
      <c r="BD267" s="1826"/>
      <c r="BE267" s="1826"/>
      <c r="BF267" s="1826"/>
      <c r="BG267" s="1639"/>
    </row>
    <row customHeight="1" ht="0.75">
      <c r="A268" s="1170" t="s">
        <v>1225</v>
      </c>
      <c r="B268" s="1170"/>
      <c r="C268" s="1170"/>
      <c r="D268" s="1164"/>
      <c r="E268" s="1174"/>
      <c r="F268" s="2553">
        <v>2028</v>
      </c>
      <c r="G268" s="2532"/>
      <c r="H268" s="2557" t="s">
        <v>514</v>
      </c>
      <c r="I268" s="2558"/>
      <c r="J268" s="2559"/>
      <c r="K268" s="2559"/>
      <c r="L268" s="2551"/>
      <c r="M268" s="2285"/>
      <c r="N268" s="2037"/>
      <c r="O268" s="2036"/>
      <c r="P268" s="2037"/>
      <c r="Q268" s="2037"/>
      <c r="R268" s="2037"/>
      <c r="S268" s="2037"/>
      <c r="T268" s="2037"/>
      <c r="U268" s="2037"/>
      <c r="V268" s="2037"/>
      <c r="W268" s="2037"/>
      <c r="X268" s="2037"/>
      <c r="Y268" s="2037"/>
      <c r="Z268" s="2037"/>
      <c r="AA268" s="2037"/>
      <c r="AB268" s="2037"/>
      <c r="AC268" s="2037"/>
      <c r="AD268" s="2037"/>
      <c r="AE268" s="2037"/>
      <c r="AF268" s="2555"/>
      <c r="AG268" s="2551"/>
      <c r="AH268" s="2551"/>
      <c r="AI268" s="2555"/>
      <c r="AJ268" s="2551"/>
      <c r="AK268" s="2551"/>
      <c r="AL268" s="1989"/>
      <c r="AM268" s="1826"/>
      <c r="AN268" s="1826"/>
      <c r="AO268" s="1826"/>
      <c r="AP268" s="1826"/>
      <c r="AQ268" s="1826"/>
      <c r="AR268" s="1826"/>
      <c r="AS268" s="1826"/>
      <c r="AT268" s="1826"/>
      <c r="AU268" s="1826"/>
      <c r="AV268" s="1826"/>
      <c r="AW268" s="1826"/>
      <c r="AX268" s="1826"/>
      <c r="AY268" s="1826"/>
      <c r="AZ268" s="1826"/>
      <c r="BA268" s="1826"/>
      <c r="BB268" s="1826"/>
      <c r="BC268" s="1826"/>
      <c r="BD268" s="1826"/>
      <c r="BE268" s="1826"/>
      <c r="BF268" s="1826"/>
      <c r="BG268" s="1639"/>
    </row>
    <row customHeight="1" ht="0.75">
      <c r="A269" s="1170" t="s">
        <v>1225</v>
      </c>
      <c r="B269" s="1170"/>
      <c r="C269" s="1170"/>
      <c r="D269" s="1164"/>
      <c r="E269" s="1174"/>
      <c r="F269" s="2553"/>
      <c r="G269" s="2532"/>
      <c r="H269" s="2557"/>
      <c r="I269" s="2558"/>
      <c r="J269" s="2559"/>
      <c r="K269" s="2559"/>
      <c r="L269" s="2551"/>
      <c r="M269" s="2285"/>
      <c r="N269" s="2560"/>
      <c r="O269" s="2561"/>
      <c r="P269" s="2605"/>
      <c r="Q269" s="2556"/>
      <c r="R269" s="2556"/>
      <c r="S269" s="2556"/>
      <c r="T269" s="2556"/>
      <c r="U269" s="2556"/>
      <c r="V269" s="2556"/>
      <c r="W269" s="2556"/>
      <c r="X269" s="2556"/>
      <c r="Y269" s="2556"/>
      <c r="Z269" s="2038"/>
      <c r="AA269" s="2039"/>
      <c r="AB269" s="2039"/>
      <c r="AC269" s="2040"/>
      <c r="AD269" s="2040"/>
      <c r="AE269" s="2041"/>
      <c r="AF269" s="2555"/>
      <c r="AG269" s="2551"/>
      <c r="AH269" s="2551"/>
      <c r="AI269" s="2555"/>
      <c r="AJ269" s="2551"/>
      <c r="AK269" s="2551"/>
      <c r="AL269" s="1989"/>
      <c r="AM269" s="1826"/>
      <c r="AN269" s="1826"/>
      <c r="AO269" s="1826"/>
      <c r="AP269" s="1826"/>
      <c r="AQ269" s="1826"/>
      <c r="AR269" s="1826"/>
      <c r="AS269" s="1826"/>
      <c r="AT269" s="1826"/>
      <c r="AU269" s="1826"/>
      <c r="AV269" s="1826"/>
      <c r="AW269" s="1826"/>
      <c r="AX269" s="1826"/>
      <c r="AY269" s="1826"/>
      <c r="AZ269" s="1826"/>
      <c r="BA269" s="1826"/>
      <c r="BB269" s="1826"/>
      <c r="BC269" s="1826"/>
      <c r="BD269" s="1826"/>
      <c r="BE269" s="1826"/>
      <c r="BF269" s="1826"/>
      <c r="BG269" s="1639"/>
    </row>
    <row customHeight="1" ht="0.75">
      <c r="A270" s="1170" t="s">
        <v>1225</v>
      </c>
      <c r="B270" s="1170"/>
      <c r="C270" s="1170"/>
      <c r="D270" s="1164"/>
      <c r="E270" s="1174"/>
      <c r="F270" s="2553"/>
      <c r="G270" s="2532"/>
      <c r="H270" s="2557"/>
      <c r="I270" s="2558"/>
      <c r="J270" s="2559"/>
      <c r="K270" s="2559"/>
      <c r="L270" s="2551"/>
      <c r="M270" s="2285"/>
      <c r="N270" s="2560"/>
      <c r="O270" s="2561"/>
      <c r="P270" s="2606"/>
      <c r="Q270" s="2556"/>
      <c r="R270" s="2556"/>
      <c r="S270" s="2556"/>
      <c r="T270" s="2556"/>
      <c r="U270" s="2556"/>
      <c r="V270" s="2556"/>
      <c r="W270" s="2556"/>
      <c r="X270" s="2556"/>
      <c r="Y270" s="2556"/>
      <c r="Z270" s="2042"/>
      <c r="AA270" s="2043"/>
      <c r="AB270" s="2044"/>
      <c r="AC270" s="2045"/>
      <c r="AD270" s="2044"/>
      <c r="AE270" s="2045"/>
      <c r="AF270" s="2555"/>
      <c r="AG270" s="2551"/>
      <c r="AH270" s="2551"/>
      <c r="AI270" s="2555"/>
      <c r="AJ270" s="2551"/>
      <c r="AK270" s="2551"/>
      <c r="AL270" s="1989"/>
      <c r="AM270" s="1826"/>
      <c r="AN270" s="1826"/>
      <c r="AO270" s="1826"/>
      <c r="AP270" s="1826"/>
      <c r="AQ270" s="1826"/>
      <c r="AR270" s="1826"/>
      <c r="AS270" s="1826"/>
      <c r="AT270" s="1826"/>
      <c r="AU270" s="1826"/>
      <c r="AV270" s="1826"/>
      <c r="AW270" s="1826"/>
      <c r="AX270" s="1826"/>
      <c r="AY270" s="1826"/>
      <c r="AZ270" s="1826"/>
      <c r="BA270" s="1826"/>
      <c r="BB270" s="1826"/>
      <c r="BC270" s="1826"/>
      <c r="BD270" s="1826"/>
      <c r="BE270" s="1826"/>
      <c r="BF270" s="1826"/>
      <c r="BG270" s="1639"/>
    </row>
    <row customHeight="1" ht="0.75">
      <c r="A271" s="1170" t="s">
        <v>1225</v>
      </c>
      <c r="B271" s="1170"/>
      <c r="C271" s="1170"/>
      <c r="D271" s="1164"/>
      <c r="E271" s="1174"/>
      <c r="F271" s="2553"/>
      <c r="G271" s="2532"/>
      <c r="H271" s="2557"/>
      <c r="I271" s="2558"/>
      <c r="J271" s="2559"/>
      <c r="K271" s="2559"/>
      <c r="L271" s="2551"/>
      <c r="M271" s="2285"/>
      <c r="N271" s="2560"/>
      <c r="O271" s="2561"/>
      <c r="P271" s="2607"/>
      <c r="Q271" s="2556"/>
      <c r="R271" s="2556"/>
      <c r="S271" s="2556"/>
      <c r="T271" s="2556"/>
      <c r="U271" s="2556"/>
      <c r="V271" s="2556"/>
      <c r="W271" s="2556"/>
      <c r="X271" s="2556"/>
      <c r="Y271" s="2556"/>
      <c r="Z271" s="2038"/>
      <c r="AA271" s="2039"/>
      <c r="AB271" s="2046"/>
      <c r="AC271" s="2040"/>
      <c r="AD271" s="2040"/>
      <c r="AE271" s="2047"/>
      <c r="AF271" s="2555"/>
      <c r="AG271" s="2551"/>
      <c r="AH271" s="2551"/>
      <c r="AI271" s="2555"/>
      <c r="AJ271" s="2551"/>
      <c r="AK271" s="2551"/>
      <c r="AL271" s="1989"/>
      <c r="AM271" s="1826"/>
      <c r="AN271" s="1826"/>
      <c r="AO271" s="1826"/>
      <c r="AP271" s="1826"/>
      <c r="AQ271" s="1826"/>
      <c r="AR271" s="1826"/>
      <c r="AS271" s="1826"/>
      <c r="AT271" s="1826"/>
      <c r="AU271" s="1826"/>
      <c r="AV271" s="1826"/>
      <c r="AW271" s="1826"/>
      <c r="AX271" s="1826"/>
      <c r="AY271" s="1826"/>
      <c r="AZ271" s="1826"/>
      <c r="BA271" s="1826"/>
      <c r="BB271" s="1826"/>
      <c r="BC271" s="1826"/>
      <c r="BD271" s="1826"/>
      <c r="BE271" s="1826"/>
      <c r="BF271" s="1826"/>
      <c r="BG271" s="1639"/>
    </row>
    <row customHeight="1" ht="0.75">
      <c r="A272" s="1170" t="s">
        <v>1225</v>
      </c>
      <c r="B272" s="1170"/>
      <c r="C272" s="1170"/>
      <c r="D272" s="1164"/>
      <c r="E272" s="1174"/>
      <c r="F272" s="2553"/>
      <c r="G272" s="2532"/>
      <c r="H272" s="2557"/>
      <c r="I272" s="2558"/>
      <c r="J272" s="2559"/>
      <c r="K272" s="2559"/>
      <c r="L272" s="2551"/>
      <c r="M272" s="2285"/>
      <c r="N272" s="2039"/>
      <c r="O272" s="2039"/>
      <c r="P272" s="2046"/>
      <c r="Q272" s="2039"/>
      <c r="R272" s="2039"/>
      <c r="S272" s="2039"/>
      <c r="T272" s="2039"/>
      <c r="U272" s="2039"/>
      <c r="V272" s="2039"/>
      <c r="W272" s="2039"/>
      <c r="X272" s="2039"/>
      <c r="Y272" s="2039"/>
      <c r="Z272" s="2039"/>
      <c r="AA272" s="2039"/>
      <c r="AB272" s="2039"/>
      <c r="AC272" s="2039"/>
      <c r="AD272" s="2039"/>
      <c r="AE272" s="2048"/>
      <c r="AF272" s="2555"/>
      <c r="AG272" s="2551"/>
      <c r="AH272" s="2551"/>
      <c r="AI272" s="2555"/>
      <c r="AJ272" s="2551"/>
      <c r="AK272" s="2551"/>
      <c r="AL272" s="1989"/>
      <c r="AM272" s="1826"/>
      <c r="AN272" s="1826"/>
      <c r="AO272" s="1826"/>
      <c r="AP272" s="1826"/>
      <c r="AQ272" s="1826"/>
      <c r="AR272" s="1826"/>
      <c r="AS272" s="1826"/>
      <c r="AT272" s="1826"/>
      <c r="AU272" s="1826"/>
      <c r="AV272" s="1826"/>
      <c r="AW272" s="1826"/>
      <c r="AX272" s="1826"/>
      <c r="AY272" s="1826"/>
      <c r="AZ272" s="1826"/>
      <c r="BA272" s="1826"/>
      <c r="BB272" s="1826"/>
      <c r="BC272" s="1826"/>
      <c r="BD272" s="1826"/>
      <c r="BE272" s="1826"/>
      <c r="BF272" s="1826"/>
      <c r="BG272" s="1639"/>
    </row>
    <row customHeight="1" ht="12">
      <c r="A273" s="1170" t="s">
        <v>1225</v>
      </c>
      <c r="B273" s="1170"/>
      <c r="C273" s="1170"/>
      <c r="D273" s="1164"/>
      <c r="E273" s="1174"/>
      <c r="F273" s="2554"/>
      <c r="G273" s="1194"/>
      <c r="H273" s="1194"/>
      <c r="I273" s="2552" t="s">
        <v>1300</v>
      </c>
      <c r="J273" s="2552"/>
      <c r="K273" s="2552"/>
      <c r="L273" s="1177"/>
      <c r="M273" s="1177"/>
      <c r="N273" s="1178"/>
      <c r="O273" s="1178"/>
      <c r="P273" s="1178"/>
      <c r="Q273" s="1178"/>
      <c r="R273" s="1178"/>
      <c r="S273" s="1178"/>
      <c r="T273" s="1178"/>
      <c r="U273" s="1178"/>
      <c r="V273" s="1178"/>
      <c r="W273" s="1178"/>
      <c r="X273" s="1178"/>
      <c r="Y273" s="1178"/>
      <c r="Z273" s="1178"/>
      <c r="AA273" s="1178"/>
      <c r="AB273" s="1178"/>
      <c r="AC273" s="1178"/>
      <c r="AD273" s="1178"/>
      <c r="AE273" s="1178"/>
      <c r="AF273" s="1178"/>
      <c r="AG273" s="1177"/>
      <c r="AH273" s="1177"/>
      <c r="AI273" s="1178"/>
      <c r="AJ273" s="1177"/>
      <c r="AK273" s="1178"/>
      <c r="AL273" s="1989"/>
      <c r="AM273" s="1826"/>
      <c r="AN273" s="1826"/>
      <c r="AO273" s="1826"/>
      <c r="AP273" s="1826"/>
      <c r="AQ273" s="1826"/>
      <c r="AR273" s="1826"/>
      <c r="AS273" s="1826"/>
      <c r="AT273" s="1826"/>
      <c r="AU273" s="1826"/>
      <c r="AV273" s="1826"/>
      <c r="AW273" s="1826"/>
      <c r="AX273" s="1826"/>
      <c r="AY273" s="1826"/>
      <c r="AZ273" s="1826"/>
      <c r="BA273" s="1826"/>
      <c r="BB273" s="1826"/>
      <c r="BC273" s="1826"/>
      <c r="BD273" s="1826"/>
      <c r="BE273" s="1826"/>
      <c r="BF273" s="1826"/>
      <c r="BG273" s="1639"/>
    </row>
    <row customHeight="1" ht="21">
      <c r="A274" s="1171" t="s">
        <v>1232</v>
      </c>
      <c r="B274" s="1170"/>
      <c r="C274" s="1170"/>
      <c r="D274" s="1164"/>
      <c r="E274" s="1174" t="s">
        <v>22</v>
      </c>
      <c r="F274" s="1126" t="str">
        <f>INDEX(IP_MAIN_LIST_NAME_IP,MATCH(A274,IP_MAIN_LIST_IP_ID,0))&amp;" ("&amp;INDEX(IP_MAIN_START_DATE,MATCH(A274,IP_MAIN_LIST_IP_ID,0))&amp;"-"&amp;INDEX(IP_MAIN_END_DATE,MATCH(A274,IP_MAIN_LIST_IP_ID,0))&amp;")"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G274" s="1127"/>
      <c r="H274" s="1127"/>
      <c r="I274" s="1189"/>
      <c r="J274" s="1189"/>
      <c r="K274" s="1190"/>
      <c r="L274" s="1190"/>
      <c r="M274" s="1190"/>
      <c r="N274" s="1191"/>
      <c r="O274" s="1191"/>
      <c r="P274" s="1191"/>
      <c r="Q274" s="1191"/>
      <c r="R274" s="1191"/>
      <c r="S274" s="1191"/>
      <c r="T274" s="1191"/>
      <c r="U274" s="1191"/>
      <c r="V274" s="1191"/>
      <c r="W274" s="1191"/>
      <c r="X274" s="1191"/>
      <c r="Y274" s="1191"/>
      <c r="Z274" s="1191"/>
      <c r="AA274" s="1191"/>
      <c r="AB274" s="1191"/>
      <c r="AC274" s="1191"/>
      <c r="AD274" s="1191"/>
      <c r="AE274" s="1192"/>
      <c r="AF274" s="1190"/>
      <c r="AG274" s="1190"/>
      <c r="AH274" s="1190"/>
      <c r="AI274" s="1190"/>
      <c r="AJ274" s="1190"/>
      <c r="AK274" s="1190"/>
      <c r="AL274" s="1989"/>
      <c r="AM274" s="1826"/>
      <c r="AN274" s="1826"/>
      <c r="AO274" s="1826"/>
      <c r="AP274" s="1826"/>
      <c r="AQ274" s="1826"/>
      <c r="AR274" s="1826"/>
      <c r="AS274" s="1826"/>
      <c r="AT274" s="1826"/>
      <c r="AU274" s="1826"/>
      <c r="AV274" s="1826"/>
      <c r="AW274" s="1826"/>
      <c r="AX274" s="1826"/>
      <c r="AY274" s="1826"/>
      <c r="AZ274" s="1826"/>
      <c r="BA274" s="1826"/>
      <c r="BB274" s="1826"/>
      <c r="BC274" s="1826"/>
      <c r="BD274" s="1826"/>
      <c r="BE274" s="1826"/>
      <c r="BF274" s="1826"/>
      <c r="BG274" s="1639"/>
    </row>
    <row customHeight="1" ht="0.75">
      <c r="A275" s="1170" t="s">
        <v>1232</v>
      </c>
      <c r="B275" s="1170"/>
      <c r="C275" s="1170"/>
      <c r="D275" s="1164"/>
      <c r="E275" s="1174"/>
      <c r="F275" s="2553">
        <v>2021</v>
      </c>
      <c r="G275" s="2532"/>
      <c r="H275" s="2557" t="s">
        <v>514</v>
      </c>
      <c r="I275" s="2558"/>
      <c r="J275" s="2559"/>
      <c r="K275" s="2559"/>
      <c r="L275" s="2551"/>
      <c r="M275" s="2285"/>
      <c r="N275" s="2037"/>
      <c r="O275" s="2036"/>
      <c r="P275" s="2037"/>
      <c r="Q275" s="2037"/>
      <c r="R275" s="2037"/>
      <c r="S275" s="2037"/>
      <c r="T275" s="2037"/>
      <c r="U275" s="2037"/>
      <c r="V275" s="2037"/>
      <c r="W275" s="2037"/>
      <c r="X275" s="2037"/>
      <c r="Y275" s="2037"/>
      <c r="Z275" s="2037"/>
      <c r="AA275" s="2037"/>
      <c r="AB275" s="2037"/>
      <c r="AC275" s="2037"/>
      <c r="AD275" s="2037"/>
      <c r="AE275" s="2037"/>
      <c r="AF275" s="2555"/>
      <c r="AG275" s="2551"/>
      <c r="AH275" s="2551"/>
      <c r="AI275" s="2555"/>
      <c r="AJ275" s="2551"/>
      <c r="AK275" s="2551"/>
      <c r="AL275" s="1989"/>
      <c r="AM275" s="1826"/>
      <c r="AN275" s="1826"/>
      <c r="AO275" s="1826"/>
      <c r="AP275" s="1826"/>
      <c r="AQ275" s="1826"/>
      <c r="AR275" s="1826"/>
      <c r="AS275" s="1826"/>
      <c r="AT275" s="1826"/>
      <c r="AU275" s="1826"/>
      <c r="AV275" s="1826"/>
      <c r="AW275" s="1826"/>
      <c r="AX275" s="1826"/>
      <c r="AY275" s="1826"/>
      <c r="AZ275" s="1826"/>
      <c r="BA275" s="1826"/>
      <c r="BB275" s="1826"/>
      <c r="BC275" s="1826"/>
      <c r="BD275" s="1826"/>
      <c r="BE275" s="1826"/>
      <c r="BF275" s="1826"/>
      <c r="BG275" s="1639"/>
    </row>
    <row customHeight="1" ht="0.75">
      <c r="A276" s="1170" t="s">
        <v>1232</v>
      </c>
      <c r="B276" s="1170"/>
      <c r="C276" s="1170"/>
      <c r="D276" s="1164"/>
      <c r="E276" s="1174"/>
      <c r="F276" s="2553"/>
      <c r="G276" s="2532"/>
      <c r="H276" s="2557"/>
      <c r="I276" s="2558"/>
      <c r="J276" s="2559"/>
      <c r="K276" s="2559"/>
      <c r="L276" s="2551"/>
      <c r="M276" s="2285"/>
      <c r="N276" s="2560"/>
      <c r="O276" s="2561"/>
      <c r="P276" s="2605"/>
      <c r="Q276" s="2556"/>
      <c r="R276" s="2556"/>
      <c r="S276" s="2556"/>
      <c r="T276" s="2556"/>
      <c r="U276" s="2556"/>
      <c r="V276" s="2556"/>
      <c r="W276" s="2556"/>
      <c r="X276" s="2556"/>
      <c r="Y276" s="2556"/>
      <c r="Z276" s="2038"/>
      <c r="AA276" s="2039"/>
      <c r="AB276" s="2039"/>
      <c r="AC276" s="2040"/>
      <c r="AD276" s="2040"/>
      <c r="AE276" s="2041"/>
      <c r="AF276" s="2555"/>
      <c r="AG276" s="2551"/>
      <c r="AH276" s="2551"/>
      <c r="AI276" s="2555"/>
      <c r="AJ276" s="2551"/>
      <c r="AK276" s="2551"/>
      <c r="AL276" s="1989"/>
      <c r="AM276" s="1826"/>
      <c r="AN276" s="1826"/>
      <c r="AO276" s="1826"/>
      <c r="AP276" s="1826"/>
      <c r="AQ276" s="1826"/>
      <c r="AR276" s="1826"/>
      <c r="AS276" s="1826"/>
      <c r="AT276" s="1826"/>
      <c r="AU276" s="1826"/>
      <c r="AV276" s="1826"/>
      <c r="AW276" s="1826"/>
      <c r="AX276" s="1826"/>
      <c r="AY276" s="1826"/>
      <c r="AZ276" s="1826"/>
      <c r="BA276" s="1826"/>
      <c r="BB276" s="1826"/>
      <c r="BC276" s="1826"/>
      <c r="BD276" s="1826"/>
      <c r="BE276" s="1826"/>
      <c r="BF276" s="1826"/>
      <c r="BG276" s="1639"/>
    </row>
    <row customHeight="1" ht="0.75">
      <c r="A277" s="1170" t="s">
        <v>1232</v>
      </c>
      <c r="B277" s="1170"/>
      <c r="C277" s="1170"/>
      <c r="D277" s="1164"/>
      <c r="E277" s="1174"/>
      <c r="F277" s="2553"/>
      <c r="G277" s="2532"/>
      <c r="H277" s="2557"/>
      <c r="I277" s="2558"/>
      <c r="J277" s="2559"/>
      <c r="K277" s="2559"/>
      <c r="L277" s="2551"/>
      <c r="M277" s="2285"/>
      <c r="N277" s="2560"/>
      <c r="O277" s="2561"/>
      <c r="P277" s="2606"/>
      <c r="Q277" s="2556"/>
      <c r="R277" s="2556"/>
      <c r="S277" s="2556"/>
      <c r="T277" s="2556"/>
      <c r="U277" s="2556"/>
      <c r="V277" s="2556"/>
      <c r="W277" s="2556"/>
      <c r="X277" s="2556"/>
      <c r="Y277" s="2556"/>
      <c r="Z277" s="2042"/>
      <c r="AA277" s="2043"/>
      <c r="AB277" s="2044"/>
      <c r="AC277" s="2045"/>
      <c r="AD277" s="2044"/>
      <c r="AE277" s="2045"/>
      <c r="AF277" s="2555"/>
      <c r="AG277" s="2551"/>
      <c r="AH277" s="2551"/>
      <c r="AI277" s="2555"/>
      <c r="AJ277" s="2551"/>
      <c r="AK277" s="2551"/>
      <c r="AL277" s="1989"/>
      <c r="AM277" s="1826"/>
      <c r="AN277" s="1826"/>
      <c r="AO277" s="1826"/>
      <c r="AP277" s="1826"/>
      <c r="AQ277" s="1826"/>
      <c r="AR277" s="1826"/>
      <c r="AS277" s="1826"/>
      <c r="AT277" s="1826"/>
      <c r="AU277" s="1826"/>
      <c r="AV277" s="1826"/>
      <c r="AW277" s="1826"/>
      <c r="AX277" s="1826"/>
      <c r="AY277" s="1826"/>
      <c r="AZ277" s="1826"/>
      <c r="BA277" s="1826"/>
      <c r="BB277" s="1826"/>
      <c r="BC277" s="1826"/>
      <c r="BD277" s="1826"/>
      <c r="BE277" s="1826"/>
      <c r="BF277" s="1826"/>
      <c r="BG277" s="1639"/>
    </row>
    <row customHeight="1" ht="0.75">
      <c r="A278" s="1170" t="s">
        <v>1232</v>
      </c>
      <c r="B278" s="1170"/>
      <c r="C278" s="1170"/>
      <c r="D278" s="1164"/>
      <c r="E278" s="1174"/>
      <c r="F278" s="2553"/>
      <c r="G278" s="2532"/>
      <c r="H278" s="2557"/>
      <c r="I278" s="2558"/>
      <c r="J278" s="2559"/>
      <c r="K278" s="2559"/>
      <c r="L278" s="2551"/>
      <c r="M278" s="2285"/>
      <c r="N278" s="2560"/>
      <c r="O278" s="2561"/>
      <c r="P278" s="2607"/>
      <c r="Q278" s="2556"/>
      <c r="R278" s="2556"/>
      <c r="S278" s="2556"/>
      <c r="T278" s="2556"/>
      <c r="U278" s="2556"/>
      <c r="V278" s="2556"/>
      <c r="W278" s="2556"/>
      <c r="X278" s="2556"/>
      <c r="Y278" s="2556"/>
      <c r="Z278" s="2038"/>
      <c r="AA278" s="2039"/>
      <c r="AB278" s="2046"/>
      <c r="AC278" s="2040"/>
      <c r="AD278" s="2040"/>
      <c r="AE278" s="2047"/>
      <c r="AF278" s="2555"/>
      <c r="AG278" s="2551"/>
      <c r="AH278" s="2551"/>
      <c r="AI278" s="2555"/>
      <c r="AJ278" s="2551"/>
      <c r="AK278" s="2551"/>
      <c r="AL278" s="1989"/>
      <c r="AM278" s="1826"/>
      <c r="AN278" s="1826"/>
      <c r="AO278" s="1826"/>
      <c r="AP278" s="1826"/>
      <c r="AQ278" s="1826"/>
      <c r="AR278" s="1826"/>
      <c r="AS278" s="1826"/>
      <c r="AT278" s="1826"/>
      <c r="AU278" s="1826"/>
      <c r="AV278" s="1826"/>
      <c r="AW278" s="1826"/>
      <c r="AX278" s="1826"/>
      <c r="AY278" s="1826"/>
      <c r="AZ278" s="1826"/>
      <c r="BA278" s="1826"/>
      <c r="BB278" s="1826"/>
      <c r="BC278" s="1826"/>
      <c r="BD278" s="1826"/>
      <c r="BE278" s="1826"/>
      <c r="BF278" s="1826"/>
      <c r="BG278" s="1639"/>
    </row>
    <row customHeight="1" ht="0.75">
      <c r="A279" s="1170" t="s">
        <v>1232</v>
      </c>
      <c r="B279" s="1170"/>
      <c r="C279" s="1170"/>
      <c r="D279" s="1164"/>
      <c r="E279" s="1174"/>
      <c r="F279" s="2553"/>
      <c r="G279" s="2532"/>
      <c r="H279" s="2557"/>
      <c r="I279" s="2558"/>
      <c r="J279" s="2559"/>
      <c r="K279" s="2559"/>
      <c r="L279" s="2551"/>
      <c r="M279" s="2285"/>
      <c r="N279" s="2039"/>
      <c r="O279" s="2039"/>
      <c r="P279" s="2046"/>
      <c r="Q279" s="2039"/>
      <c r="R279" s="2039"/>
      <c r="S279" s="2039"/>
      <c r="T279" s="2039"/>
      <c r="U279" s="2039"/>
      <c r="V279" s="2039"/>
      <c r="W279" s="2039"/>
      <c r="X279" s="2039"/>
      <c r="Y279" s="2039"/>
      <c r="Z279" s="2039"/>
      <c r="AA279" s="2039"/>
      <c r="AB279" s="2039"/>
      <c r="AC279" s="2039"/>
      <c r="AD279" s="2039"/>
      <c r="AE279" s="2048"/>
      <c r="AF279" s="2555"/>
      <c r="AG279" s="2551"/>
      <c r="AH279" s="2551"/>
      <c r="AI279" s="2555"/>
      <c r="AJ279" s="2551"/>
      <c r="AK279" s="2551"/>
      <c r="AL279" s="1989"/>
      <c r="AM279" s="1826"/>
      <c r="AN279" s="1826"/>
      <c r="AO279" s="1826"/>
      <c r="AP279" s="1826"/>
      <c r="AQ279" s="1826"/>
      <c r="AR279" s="1826"/>
      <c r="AS279" s="1826"/>
      <c r="AT279" s="1826"/>
      <c r="AU279" s="1826"/>
      <c r="AV279" s="1826"/>
      <c r="AW279" s="1826"/>
      <c r="AX279" s="1826"/>
      <c r="AY279" s="1826"/>
      <c r="AZ279" s="1826"/>
      <c r="BA279" s="1826"/>
      <c r="BB279" s="1826"/>
      <c r="BC279" s="1826"/>
      <c r="BD279" s="1826"/>
      <c r="BE279" s="1826"/>
      <c r="BF279" s="1826"/>
      <c r="BG279" s="1639"/>
    </row>
    <row customHeight="1" ht="12">
      <c r="A280" s="1170" t="s">
        <v>1232</v>
      </c>
      <c r="B280" s="1170"/>
      <c r="C280" s="1170"/>
      <c r="D280" s="1164"/>
      <c r="E280" s="1174"/>
      <c r="F280" s="2554"/>
      <c r="G280" s="1194"/>
      <c r="H280" s="1194"/>
      <c r="I280" s="2552" t="s">
        <v>1300</v>
      </c>
      <c r="J280" s="2552"/>
      <c r="K280" s="2552"/>
      <c r="L280" s="1177"/>
      <c r="M280" s="1177"/>
      <c r="N280" s="1178"/>
      <c r="O280" s="1178"/>
      <c r="P280" s="1178"/>
      <c r="Q280" s="1178"/>
      <c r="R280" s="1178"/>
      <c r="S280" s="1178"/>
      <c r="T280" s="1178"/>
      <c r="U280" s="1178"/>
      <c r="V280" s="1178"/>
      <c r="W280" s="1178"/>
      <c r="X280" s="1178"/>
      <c r="Y280" s="1178"/>
      <c r="Z280" s="1178"/>
      <c r="AA280" s="1178"/>
      <c r="AB280" s="1178"/>
      <c r="AC280" s="1178"/>
      <c r="AD280" s="1178"/>
      <c r="AE280" s="1178"/>
      <c r="AF280" s="1178"/>
      <c r="AG280" s="1177"/>
      <c r="AH280" s="1177"/>
      <c r="AI280" s="1178"/>
      <c r="AJ280" s="1177"/>
      <c r="AK280" s="1178"/>
      <c r="AL280" s="1989"/>
      <c r="AM280" s="1826"/>
      <c r="AN280" s="1826"/>
      <c r="AO280" s="1826"/>
      <c r="AP280" s="1826"/>
      <c r="AQ280" s="1826"/>
      <c r="AR280" s="1826"/>
      <c r="AS280" s="1826"/>
      <c r="AT280" s="1826"/>
      <c r="AU280" s="1826"/>
      <c r="AV280" s="1826"/>
      <c r="AW280" s="1826"/>
      <c r="AX280" s="1826"/>
      <c r="AY280" s="1826"/>
      <c r="AZ280" s="1826"/>
      <c r="BA280" s="1826"/>
      <c r="BB280" s="1826"/>
      <c r="BC280" s="1826"/>
      <c r="BD280" s="1826"/>
      <c r="BE280" s="1826"/>
      <c r="BF280" s="1826"/>
      <c r="BG280" s="1639"/>
    </row>
    <row customHeight="1" ht="0.75">
      <c r="A281" s="1170" t="s">
        <v>1232</v>
      </c>
      <c r="B281" s="1170"/>
      <c r="C281" s="1170"/>
      <c r="D281" s="1164"/>
      <c r="E281" s="1174"/>
      <c r="F281" s="2553">
        <v>2022</v>
      </c>
      <c r="G281" s="2532"/>
      <c r="H281" s="2557" t="s">
        <v>514</v>
      </c>
      <c r="I281" s="2558"/>
      <c r="J281" s="2559"/>
      <c r="K281" s="2559"/>
      <c r="L281" s="2551"/>
      <c r="M281" s="2285"/>
      <c r="N281" s="2037"/>
      <c r="O281" s="2036"/>
      <c r="P281" s="2037"/>
      <c r="Q281" s="2037"/>
      <c r="R281" s="2037"/>
      <c r="S281" s="2037"/>
      <c r="T281" s="2037"/>
      <c r="U281" s="2037"/>
      <c r="V281" s="2037"/>
      <c r="W281" s="2037"/>
      <c r="X281" s="2037"/>
      <c r="Y281" s="2037"/>
      <c r="Z281" s="2037"/>
      <c r="AA281" s="2037"/>
      <c r="AB281" s="2037"/>
      <c r="AC281" s="2037"/>
      <c r="AD281" s="2037"/>
      <c r="AE281" s="2037"/>
      <c r="AF281" s="2555"/>
      <c r="AG281" s="2551"/>
      <c r="AH281" s="2551"/>
      <c r="AI281" s="2555"/>
      <c r="AJ281" s="2551"/>
      <c r="AK281" s="2551"/>
      <c r="AL281" s="1989"/>
      <c r="AM281" s="1826"/>
      <c r="AN281" s="1826"/>
      <c r="AO281" s="1826"/>
      <c r="AP281" s="1826"/>
      <c r="AQ281" s="1826"/>
      <c r="AR281" s="1826"/>
      <c r="AS281" s="1826"/>
      <c r="AT281" s="1826"/>
      <c r="AU281" s="1826"/>
      <c r="AV281" s="1826"/>
      <c r="AW281" s="1826"/>
      <c r="AX281" s="1826"/>
      <c r="AY281" s="1826"/>
      <c r="AZ281" s="1826"/>
      <c r="BA281" s="1826"/>
      <c r="BB281" s="1826"/>
      <c r="BC281" s="1826"/>
      <c r="BD281" s="1826"/>
      <c r="BE281" s="1826"/>
      <c r="BF281" s="1826"/>
      <c r="BG281" s="1639"/>
    </row>
    <row customHeight="1" ht="0.75">
      <c r="A282" s="1170" t="s">
        <v>1232</v>
      </c>
      <c r="B282" s="1170"/>
      <c r="C282" s="1170"/>
      <c r="D282" s="1164"/>
      <c r="E282" s="1174"/>
      <c r="F282" s="2553"/>
      <c r="G282" s="2532"/>
      <c r="H282" s="2557"/>
      <c r="I282" s="2558"/>
      <c r="J282" s="2559"/>
      <c r="K282" s="2559"/>
      <c r="L282" s="2551"/>
      <c r="M282" s="2285"/>
      <c r="N282" s="2560"/>
      <c r="O282" s="2561"/>
      <c r="P282" s="2605"/>
      <c r="Q282" s="2556"/>
      <c r="R282" s="2556"/>
      <c r="S282" s="2556"/>
      <c r="T282" s="2556"/>
      <c r="U282" s="2556"/>
      <c r="V282" s="2556"/>
      <c r="W282" s="2556"/>
      <c r="X282" s="2556"/>
      <c r="Y282" s="2556"/>
      <c r="Z282" s="2038"/>
      <c r="AA282" s="2039"/>
      <c r="AB282" s="2039"/>
      <c r="AC282" s="2040"/>
      <c r="AD282" s="2040"/>
      <c r="AE282" s="2041"/>
      <c r="AF282" s="2555"/>
      <c r="AG282" s="2551"/>
      <c r="AH282" s="2551"/>
      <c r="AI282" s="2555"/>
      <c r="AJ282" s="2551"/>
      <c r="AK282" s="2551"/>
      <c r="AL282" s="1989"/>
      <c r="AM282" s="1826"/>
      <c r="AN282" s="1826"/>
      <c r="AO282" s="1826"/>
      <c r="AP282" s="1826"/>
      <c r="AQ282" s="1826"/>
      <c r="AR282" s="1826"/>
      <c r="AS282" s="1826"/>
      <c r="AT282" s="1826"/>
      <c r="AU282" s="1826"/>
      <c r="AV282" s="1826"/>
      <c r="AW282" s="1826"/>
      <c r="AX282" s="1826"/>
      <c r="AY282" s="1826"/>
      <c r="AZ282" s="1826"/>
      <c r="BA282" s="1826"/>
      <c r="BB282" s="1826"/>
      <c r="BC282" s="1826"/>
      <c r="BD282" s="1826"/>
      <c r="BE282" s="1826"/>
      <c r="BF282" s="1826"/>
      <c r="BG282" s="1639"/>
    </row>
    <row customHeight="1" ht="0.75">
      <c r="A283" s="1170" t="s">
        <v>1232</v>
      </c>
      <c r="B283" s="1170"/>
      <c r="C283" s="1170"/>
      <c r="D283" s="1164"/>
      <c r="E283" s="1174"/>
      <c r="F283" s="2553"/>
      <c r="G283" s="2532"/>
      <c r="H283" s="2557"/>
      <c r="I283" s="2558"/>
      <c r="J283" s="2559"/>
      <c r="K283" s="2559"/>
      <c r="L283" s="2551"/>
      <c r="M283" s="2285"/>
      <c r="N283" s="2560"/>
      <c r="O283" s="2561"/>
      <c r="P283" s="2606"/>
      <c r="Q283" s="2556"/>
      <c r="R283" s="2556"/>
      <c r="S283" s="2556"/>
      <c r="T283" s="2556"/>
      <c r="U283" s="2556"/>
      <c r="V283" s="2556"/>
      <c r="W283" s="2556"/>
      <c r="X283" s="2556"/>
      <c r="Y283" s="2556"/>
      <c r="Z283" s="2042"/>
      <c r="AA283" s="2043"/>
      <c r="AB283" s="2044"/>
      <c r="AC283" s="2045"/>
      <c r="AD283" s="2044"/>
      <c r="AE283" s="2045"/>
      <c r="AF283" s="2555"/>
      <c r="AG283" s="2551"/>
      <c r="AH283" s="2551"/>
      <c r="AI283" s="2555"/>
      <c r="AJ283" s="2551"/>
      <c r="AK283" s="2551"/>
      <c r="AL283" s="1989"/>
      <c r="AM283" s="1826"/>
      <c r="AN283" s="1826"/>
      <c r="AO283" s="1826"/>
      <c r="AP283" s="1826"/>
      <c r="AQ283" s="1826"/>
      <c r="AR283" s="1826"/>
      <c r="AS283" s="1826"/>
      <c r="AT283" s="1826"/>
      <c r="AU283" s="1826"/>
      <c r="AV283" s="1826"/>
      <c r="AW283" s="1826"/>
      <c r="AX283" s="1826"/>
      <c r="AY283" s="1826"/>
      <c r="AZ283" s="1826"/>
      <c r="BA283" s="1826"/>
      <c r="BB283" s="1826"/>
      <c r="BC283" s="1826"/>
      <c r="BD283" s="1826"/>
      <c r="BE283" s="1826"/>
      <c r="BF283" s="1826"/>
      <c r="BG283" s="1639"/>
    </row>
    <row customHeight="1" ht="0.75">
      <c r="A284" s="1170" t="s">
        <v>1232</v>
      </c>
      <c r="B284" s="1170"/>
      <c r="C284" s="1170"/>
      <c r="D284" s="1164"/>
      <c r="E284" s="1174"/>
      <c r="F284" s="2553"/>
      <c r="G284" s="2532"/>
      <c r="H284" s="2557"/>
      <c r="I284" s="2558"/>
      <c r="J284" s="2559"/>
      <c r="K284" s="2559"/>
      <c r="L284" s="2551"/>
      <c r="M284" s="2285"/>
      <c r="N284" s="2560"/>
      <c r="O284" s="2561"/>
      <c r="P284" s="2607"/>
      <c r="Q284" s="2556"/>
      <c r="R284" s="2556"/>
      <c r="S284" s="2556"/>
      <c r="T284" s="2556"/>
      <c r="U284" s="2556"/>
      <c r="V284" s="2556"/>
      <c r="W284" s="2556"/>
      <c r="X284" s="2556"/>
      <c r="Y284" s="2556"/>
      <c r="Z284" s="2038"/>
      <c r="AA284" s="2039"/>
      <c r="AB284" s="2046"/>
      <c r="AC284" s="2040"/>
      <c r="AD284" s="2040"/>
      <c r="AE284" s="2047"/>
      <c r="AF284" s="2555"/>
      <c r="AG284" s="2551"/>
      <c r="AH284" s="2551"/>
      <c r="AI284" s="2555"/>
      <c r="AJ284" s="2551"/>
      <c r="AK284" s="2551"/>
      <c r="AL284" s="1989"/>
      <c r="AM284" s="1826"/>
      <c r="AN284" s="1826"/>
      <c r="AO284" s="1826"/>
      <c r="AP284" s="1826"/>
      <c r="AQ284" s="1826"/>
      <c r="AR284" s="1826"/>
      <c r="AS284" s="1826"/>
      <c r="AT284" s="1826"/>
      <c r="AU284" s="1826"/>
      <c r="AV284" s="1826"/>
      <c r="AW284" s="1826"/>
      <c r="AX284" s="1826"/>
      <c r="AY284" s="1826"/>
      <c r="AZ284" s="1826"/>
      <c r="BA284" s="1826"/>
      <c r="BB284" s="1826"/>
      <c r="BC284" s="1826"/>
      <c r="BD284" s="1826"/>
      <c r="BE284" s="1826"/>
      <c r="BF284" s="1826"/>
      <c r="BG284" s="1639"/>
    </row>
    <row customHeight="1" ht="0.75">
      <c r="A285" s="1170" t="s">
        <v>1232</v>
      </c>
      <c r="B285" s="1170"/>
      <c r="C285" s="1170"/>
      <c r="D285" s="1164"/>
      <c r="E285" s="1174"/>
      <c r="F285" s="2553"/>
      <c r="G285" s="2532"/>
      <c r="H285" s="2557"/>
      <c r="I285" s="2558"/>
      <c r="J285" s="2559"/>
      <c r="K285" s="2559"/>
      <c r="L285" s="2551"/>
      <c r="M285" s="2285"/>
      <c r="N285" s="2039"/>
      <c r="O285" s="2039"/>
      <c r="P285" s="2046"/>
      <c r="Q285" s="2039"/>
      <c r="R285" s="2039"/>
      <c r="S285" s="2039"/>
      <c r="T285" s="2039"/>
      <c r="U285" s="2039"/>
      <c r="V285" s="2039"/>
      <c r="W285" s="2039"/>
      <c r="X285" s="2039"/>
      <c r="Y285" s="2039"/>
      <c r="Z285" s="2039"/>
      <c r="AA285" s="2039"/>
      <c r="AB285" s="2039"/>
      <c r="AC285" s="2039"/>
      <c r="AD285" s="2039"/>
      <c r="AE285" s="2048"/>
      <c r="AF285" s="2555"/>
      <c r="AG285" s="2551"/>
      <c r="AH285" s="2551"/>
      <c r="AI285" s="2555"/>
      <c r="AJ285" s="2551"/>
      <c r="AK285" s="2551"/>
      <c r="AL285" s="1989"/>
      <c r="AM285" s="1826"/>
      <c r="AN285" s="1826"/>
      <c r="AO285" s="1826"/>
      <c r="AP285" s="1826"/>
      <c r="AQ285" s="1826"/>
      <c r="AR285" s="1826"/>
      <c r="AS285" s="1826"/>
      <c r="AT285" s="1826"/>
      <c r="AU285" s="1826"/>
      <c r="AV285" s="1826"/>
      <c r="AW285" s="1826"/>
      <c r="AX285" s="1826"/>
      <c r="AY285" s="1826"/>
      <c r="AZ285" s="1826"/>
      <c r="BA285" s="1826"/>
      <c r="BB285" s="1826"/>
      <c r="BC285" s="1826"/>
      <c r="BD285" s="1826"/>
      <c r="BE285" s="1826"/>
      <c r="BF285" s="1826"/>
      <c r="BG285" s="1639"/>
    </row>
    <row customHeight="1" ht="12">
      <c r="A286" s="1170" t="s">
        <v>1232</v>
      </c>
      <c r="B286" s="1170"/>
      <c r="C286" s="1170"/>
      <c r="D286" s="1164"/>
      <c r="E286" s="1174"/>
      <c r="F286" s="2554"/>
      <c r="G286" s="1194"/>
      <c r="H286" s="1194"/>
      <c r="I286" s="2552" t="s">
        <v>1300</v>
      </c>
      <c r="J286" s="2552"/>
      <c r="K286" s="2552"/>
      <c r="L286" s="1177"/>
      <c r="M286" s="1177"/>
      <c r="N286" s="1178"/>
      <c r="O286" s="1178"/>
      <c r="P286" s="1178"/>
      <c r="Q286" s="1178"/>
      <c r="R286" s="1178"/>
      <c r="S286" s="1178"/>
      <c r="T286" s="1178"/>
      <c r="U286" s="1178"/>
      <c r="V286" s="1178"/>
      <c r="W286" s="1178"/>
      <c r="X286" s="1178"/>
      <c r="Y286" s="1178"/>
      <c r="Z286" s="1178"/>
      <c r="AA286" s="1178"/>
      <c r="AB286" s="1178"/>
      <c r="AC286" s="1178"/>
      <c r="AD286" s="1178"/>
      <c r="AE286" s="1178"/>
      <c r="AF286" s="1178"/>
      <c r="AG286" s="1177"/>
      <c r="AH286" s="1177"/>
      <c r="AI286" s="1178"/>
      <c r="AJ286" s="1177"/>
      <c r="AK286" s="1178"/>
      <c r="AL286" s="1989"/>
      <c r="AM286" s="1826"/>
      <c r="AN286" s="1826"/>
      <c r="AO286" s="1826"/>
      <c r="AP286" s="1826"/>
      <c r="AQ286" s="1826"/>
      <c r="AR286" s="1826"/>
      <c r="AS286" s="1826"/>
      <c r="AT286" s="1826"/>
      <c r="AU286" s="1826"/>
      <c r="AV286" s="1826"/>
      <c r="AW286" s="1826"/>
      <c r="AX286" s="1826"/>
      <c r="AY286" s="1826"/>
      <c r="AZ286" s="1826"/>
      <c r="BA286" s="1826"/>
      <c r="BB286" s="1826"/>
      <c r="BC286" s="1826"/>
      <c r="BD286" s="1826"/>
      <c r="BE286" s="1826"/>
      <c r="BF286" s="1826"/>
      <c r="BG286" s="1639"/>
    </row>
    <row customHeight="1" ht="0.75">
      <c r="A287" s="1170" t="s">
        <v>1232</v>
      </c>
      <c r="B287" s="1170"/>
      <c r="C287" s="1170"/>
      <c r="D287" s="1164"/>
      <c r="E287" s="1174"/>
      <c r="F287" s="2553">
        <v>2023</v>
      </c>
      <c r="G287" s="2532"/>
      <c r="H287" s="2557" t="s">
        <v>514</v>
      </c>
      <c r="I287" s="2558"/>
      <c r="J287" s="2559"/>
      <c r="K287" s="2559"/>
      <c r="L287" s="2551"/>
      <c r="M287" s="2285"/>
      <c r="N287" s="2037"/>
      <c r="O287" s="2036"/>
      <c r="P287" s="2037"/>
      <c r="Q287" s="2037"/>
      <c r="R287" s="2037"/>
      <c r="S287" s="2037"/>
      <c r="T287" s="2037"/>
      <c r="U287" s="2037"/>
      <c r="V287" s="2037"/>
      <c r="W287" s="2037"/>
      <c r="X287" s="2037"/>
      <c r="Y287" s="2037"/>
      <c r="Z287" s="2037"/>
      <c r="AA287" s="2037"/>
      <c r="AB287" s="2037"/>
      <c r="AC287" s="2037"/>
      <c r="AD287" s="2037"/>
      <c r="AE287" s="2037"/>
      <c r="AF287" s="2555"/>
      <c r="AG287" s="2551"/>
      <c r="AH287" s="2551"/>
      <c r="AI287" s="2555"/>
      <c r="AJ287" s="2551"/>
      <c r="AK287" s="2551"/>
      <c r="AL287" s="1989"/>
      <c r="AM287" s="1826"/>
      <c r="AN287" s="1826"/>
      <c r="AO287" s="1826"/>
      <c r="AP287" s="1826"/>
      <c r="AQ287" s="1826"/>
      <c r="AR287" s="1826"/>
      <c r="AS287" s="1826"/>
      <c r="AT287" s="1826"/>
      <c r="AU287" s="1826"/>
      <c r="AV287" s="1826"/>
      <c r="AW287" s="1826"/>
      <c r="AX287" s="1826"/>
      <c r="AY287" s="1826"/>
      <c r="AZ287" s="1826"/>
      <c r="BA287" s="1826"/>
      <c r="BB287" s="1826"/>
      <c r="BC287" s="1826"/>
      <c r="BD287" s="1826"/>
      <c r="BE287" s="1826"/>
      <c r="BF287" s="1826"/>
      <c r="BG287" s="1639"/>
    </row>
    <row customHeight="1" ht="0.75">
      <c r="A288" s="1170" t="s">
        <v>1232</v>
      </c>
      <c r="B288" s="1170"/>
      <c r="C288" s="1170"/>
      <c r="D288" s="1164"/>
      <c r="E288" s="1174"/>
      <c r="F288" s="2553"/>
      <c r="G288" s="2532"/>
      <c r="H288" s="2557"/>
      <c r="I288" s="2558"/>
      <c r="J288" s="2559"/>
      <c r="K288" s="2559"/>
      <c r="L288" s="2551"/>
      <c r="M288" s="2285"/>
      <c r="N288" s="2560"/>
      <c r="O288" s="2561"/>
      <c r="P288" s="2605"/>
      <c r="Q288" s="2556"/>
      <c r="R288" s="2556"/>
      <c r="S288" s="2556"/>
      <c r="T288" s="2556"/>
      <c r="U288" s="2556"/>
      <c r="V288" s="2556"/>
      <c r="W288" s="2556"/>
      <c r="X288" s="2556"/>
      <c r="Y288" s="2556"/>
      <c r="Z288" s="2038"/>
      <c r="AA288" s="2039"/>
      <c r="AB288" s="2039"/>
      <c r="AC288" s="2040"/>
      <c r="AD288" s="2040"/>
      <c r="AE288" s="2041"/>
      <c r="AF288" s="2555"/>
      <c r="AG288" s="2551"/>
      <c r="AH288" s="2551"/>
      <c r="AI288" s="2555"/>
      <c r="AJ288" s="2551"/>
      <c r="AK288" s="2551"/>
      <c r="AL288" s="1989"/>
      <c r="AM288" s="1826"/>
      <c r="AN288" s="1826"/>
      <c r="AO288" s="1826"/>
      <c r="AP288" s="1826"/>
      <c r="AQ288" s="1826"/>
      <c r="AR288" s="1826"/>
      <c r="AS288" s="1826"/>
      <c r="AT288" s="1826"/>
      <c r="AU288" s="1826"/>
      <c r="AV288" s="1826"/>
      <c r="AW288" s="1826"/>
      <c r="AX288" s="1826"/>
      <c r="AY288" s="1826"/>
      <c r="AZ288" s="1826"/>
      <c r="BA288" s="1826"/>
      <c r="BB288" s="1826"/>
      <c r="BC288" s="1826"/>
      <c r="BD288" s="1826"/>
      <c r="BE288" s="1826"/>
      <c r="BF288" s="1826"/>
      <c r="BG288" s="1639"/>
    </row>
    <row customHeight="1" ht="0.75">
      <c r="A289" s="1170" t="s">
        <v>1232</v>
      </c>
      <c r="B289" s="1170"/>
      <c r="C289" s="1170"/>
      <c r="D289" s="1164"/>
      <c r="E289" s="1174"/>
      <c r="F289" s="2553"/>
      <c r="G289" s="2532"/>
      <c r="H289" s="2557"/>
      <c r="I289" s="2558"/>
      <c r="J289" s="2559"/>
      <c r="K289" s="2559"/>
      <c r="L289" s="2551"/>
      <c r="M289" s="2285"/>
      <c r="N289" s="2560"/>
      <c r="O289" s="2561"/>
      <c r="P289" s="2606"/>
      <c r="Q289" s="2556"/>
      <c r="R289" s="2556"/>
      <c r="S289" s="2556"/>
      <c r="T289" s="2556"/>
      <c r="U289" s="2556"/>
      <c r="V289" s="2556"/>
      <c r="W289" s="2556"/>
      <c r="X289" s="2556"/>
      <c r="Y289" s="2556"/>
      <c r="Z289" s="2042"/>
      <c r="AA289" s="2043"/>
      <c r="AB289" s="2044"/>
      <c r="AC289" s="2045"/>
      <c r="AD289" s="2044"/>
      <c r="AE289" s="2045"/>
      <c r="AF289" s="2555"/>
      <c r="AG289" s="2551"/>
      <c r="AH289" s="2551"/>
      <c r="AI289" s="2555"/>
      <c r="AJ289" s="2551"/>
      <c r="AK289" s="2551"/>
      <c r="AL289" s="1989"/>
      <c r="AM289" s="1826"/>
      <c r="AN289" s="1826"/>
      <c r="AO289" s="1826"/>
      <c r="AP289" s="1826"/>
      <c r="AQ289" s="1826"/>
      <c r="AR289" s="1826"/>
      <c r="AS289" s="1826"/>
      <c r="AT289" s="1826"/>
      <c r="AU289" s="1826"/>
      <c r="AV289" s="1826"/>
      <c r="AW289" s="1826"/>
      <c r="AX289" s="1826"/>
      <c r="AY289" s="1826"/>
      <c r="AZ289" s="1826"/>
      <c r="BA289" s="1826"/>
      <c r="BB289" s="1826"/>
      <c r="BC289" s="1826"/>
      <c r="BD289" s="1826"/>
      <c r="BE289" s="1826"/>
      <c r="BF289" s="1826"/>
      <c r="BG289" s="1639"/>
    </row>
    <row customHeight="1" ht="0.75">
      <c r="A290" s="1170" t="s">
        <v>1232</v>
      </c>
      <c r="B290" s="1170"/>
      <c r="C290" s="1170"/>
      <c r="D290" s="1164"/>
      <c r="E290" s="1174"/>
      <c r="F290" s="2553"/>
      <c r="G290" s="2532"/>
      <c r="H290" s="2557"/>
      <c r="I290" s="2558"/>
      <c r="J290" s="2559"/>
      <c r="K290" s="2559"/>
      <c r="L290" s="2551"/>
      <c r="M290" s="2285"/>
      <c r="N290" s="2560"/>
      <c r="O290" s="2561"/>
      <c r="P290" s="2607"/>
      <c r="Q290" s="2556"/>
      <c r="R290" s="2556"/>
      <c r="S290" s="2556"/>
      <c r="T290" s="2556"/>
      <c r="U290" s="2556"/>
      <c r="V290" s="2556"/>
      <c r="W290" s="2556"/>
      <c r="X290" s="2556"/>
      <c r="Y290" s="2556"/>
      <c r="Z290" s="2038"/>
      <c r="AA290" s="2039"/>
      <c r="AB290" s="2046"/>
      <c r="AC290" s="2040"/>
      <c r="AD290" s="2040"/>
      <c r="AE290" s="2047"/>
      <c r="AF290" s="2555"/>
      <c r="AG290" s="2551"/>
      <c r="AH290" s="2551"/>
      <c r="AI290" s="2555"/>
      <c r="AJ290" s="2551"/>
      <c r="AK290" s="2551"/>
      <c r="AL290" s="1989"/>
      <c r="AM290" s="1826"/>
      <c r="AN290" s="1826"/>
      <c r="AO290" s="1826"/>
      <c r="AP290" s="1826"/>
      <c r="AQ290" s="1826"/>
      <c r="AR290" s="1826"/>
      <c r="AS290" s="1826"/>
      <c r="AT290" s="1826"/>
      <c r="AU290" s="1826"/>
      <c r="AV290" s="1826"/>
      <c r="AW290" s="1826"/>
      <c r="AX290" s="1826"/>
      <c r="AY290" s="1826"/>
      <c r="AZ290" s="1826"/>
      <c r="BA290" s="1826"/>
      <c r="BB290" s="1826"/>
      <c r="BC290" s="1826"/>
      <c r="BD290" s="1826"/>
      <c r="BE290" s="1826"/>
      <c r="BF290" s="1826"/>
      <c r="BG290" s="1639"/>
    </row>
    <row customHeight="1" ht="0.75">
      <c r="A291" s="1170" t="s">
        <v>1232</v>
      </c>
      <c r="B291" s="1170"/>
      <c r="C291" s="1170"/>
      <c r="D291" s="1164"/>
      <c r="E291" s="1174"/>
      <c r="F291" s="2553"/>
      <c r="G291" s="2532"/>
      <c r="H291" s="2557"/>
      <c r="I291" s="2558"/>
      <c r="J291" s="2559"/>
      <c r="K291" s="2559"/>
      <c r="L291" s="2551"/>
      <c r="M291" s="2285"/>
      <c r="N291" s="2039"/>
      <c r="O291" s="2039"/>
      <c r="P291" s="2046"/>
      <c r="Q291" s="2039"/>
      <c r="R291" s="2039"/>
      <c r="S291" s="2039"/>
      <c r="T291" s="2039"/>
      <c r="U291" s="2039"/>
      <c r="V291" s="2039"/>
      <c r="W291" s="2039"/>
      <c r="X291" s="2039"/>
      <c r="Y291" s="2039"/>
      <c r="Z291" s="2039"/>
      <c r="AA291" s="2039"/>
      <c r="AB291" s="2039"/>
      <c r="AC291" s="2039"/>
      <c r="AD291" s="2039"/>
      <c r="AE291" s="2048"/>
      <c r="AF291" s="2555"/>
      <c r="AG291" s="2551"/>
      <c r="AH291" s="2551"/>
      <c r="AI291" s="2555"/>
      <c r="AJ291" s="2551"/>
      <c r="AK291" s="2551"/>
      <c r="AL291" s="1989"/>
      <c r="AM291" s="1826"/>
      <c r="AN291" s="1826"/>
      <c r="AO291" s="1826"/>
      <c r="AP291" s="1826"/>
      <c r="AQ291" s="1826"/>
      <c r="AR291" s="1826"/>
      <c r="AS291" s="1826"/>
      <c r="AT291" s="1826"/>
      <c r="AU291" s="1826"/>
      <c r="AV291" s="1826"/>
      <c r="AW291" s="1826"/>
      <c r="AX291" s="1826"/>
      <c r="AY291" s="1826"/>
      <c r="AZ291" s="1826"/>
      <c r="BA291" s="1826"/>
      <c r="BB291" s="1826"/>
      <c r="BC291" s="1826"/>
      <c r="BD291" s="1826"/>
      <c r="BE291" s="1826"/>
      <c r="BF291" s="1826"/>
      <c r="BG291" s="1639"/>
    </row>
    <row customHeight="1" ht="12">
      <c r="A292" s="1170" t="s">
        <v>1232</v>
      </c>
      <c r="B292" s="1170"/>
      <c r="C292" s="1170"/>
      <c r="D292" s="1164"/>
      <c r="E292" s="1174"/>
      <c r="F292" s="2554"/>
      <c r="G292" s="1194"/>
      <c r="H292" s="1194"/>
      <c r="I292" s="2552" t="s">
        <v>1300</v>
      </c>
      <c r="J292" s="2552"/>
      <c r="K292" s="2552"/>
      <c r="L292" s="1177"/>
      <c r="M292" s="1177"/>
      <c r="N292" s="1178"/>
      <c r="O292" s="1178"/>
      <c r="P292" s="1178"/>
      <c r="Q292" s="1178"/>
      <c r="R292" s="1178"/>
      <c r="S292" s="1178"/>
      <c r="T292" s="1178"/>
      <c r="U292" s="1178"/>
      <c r="V292" s="1178"/>
      <c r="W292" s="1178"/>
      <c r="X292" s="1178"/>
      <c r="Y292" s="1178"/>
      <c r="Z292" s="1178"/>
      <c r="AA292" s="1178"/>
      <c r="AB292" s="1178"/>
      <c r="AC292" s="1178"/>
      <c r="AD292" s="1178"/>
      <c r="AE292" s="1178"/>
      <c r="AF292" s="1178"/>
      <c r="AG292" s="1177"/>
      <c r="AH292" s="1177"/>
      <c r="AI292" s="1178"/>
      <c r="AJ292" s="1177"/>
      <c r="AK292" s="1178"/>
      <c r="AL292" s="1989"/>
      <c r="AM292" s="1826"/>
      <c r="AN292" s="1826"/>
      <c r="AO292" s="1826"/>
      <c r="AP292" s="1826"/>
      <c r="AQ292" s="1826"/>
      <c r="AR292" s="1826"/>
      <c r="AS292" s="1826"/>
      <c r="AT292" s="1826"/>
      <c r="AU292" s="1826"/>
      <c r="AV292" s="1826"/>
      <c r="AW292" s="1826"/>
      <c r="AX292" s="1826"/>
      <c r="AY292" s="1826"/>
      <c r="AZ292" s="1826"/>
      <c r="BA292" s="1826"/>
      <c r="BB292" s="1826"/>
      <c r="BC292" s="1826"/>
      <c r="BD292" s="1826"/>
      <c r="BE292" s="1826"/>
      <c r="BF292" s="1826"/>
      <c r="BG292" s="1639"/>
    </row>
    <row customHeight="1" ht="0.75">
      <c r="A293" s="1170" t="s">
        <v>1232</v>
      </c>
      <c r="B293" s="1170"/>
      <c r="C293" s="1170"/>
      <c r="D293" s="1164"/>
      <c r="E293" s="1174"/>
      <c r="F293" s="2553">
        <v>2024</v>
      </c>
      <c r="G293" s="2532"/>
      <c r="H293" s="2557" t="s">
        <v>514</v>
      </c>
      <c r="I293" s="2558"/>
      <c r="J293" s="2559"/>
      <c r="K293" s="2559"/>
      <c r="L293" s="2551"/>
      <c r="M293" s="2285"/>
      <c r="N293" s="2037"/>
      <c r="O293" s="2036"/>
      <c r="P293" s="2037"/>
      <c r="Q293" s="2037"/>
      <c r="R293" s="2037"/>
      <c r="S293" s="2037"/>
      <c r="T293" s="2037"/>
      <c r="U293" s="2037"/>
      <c r="V293" s="2037"/>
      <c r="W293" s="2037"/>
      <c r="X293" s="2037"/>
      <c r="Y293" s="2037"/>
      <c r="Z293" s="2037"/>
      <c r="AA293" s="2037"/>
      <c r="AB293" s="2037"/>
      <c r="AC293" s="2037"/>
      <c r="AD293" s="2037"/>
      <c r="AE293" s="2037"/>
      <c r="AF293" s="2555"/>
      <c r="AG293" s="2551"/>
      <c r="AH293" s="2551"/>
      <c r="AI293" s="2555"/>
      <c r="AJ293" s="2551"/>
      <c r="AK293" s="2551"/>
      <c r="AL293" s="1989"/>
      <c r="AM293" s="1826"/>
      <c r="AN293" s="1826"/>
      <c r="AO293" s="1826"/>
      <c r="AP293" s="1826"/>
      <c r="AQ293" s="1826"/>
      <c r="AR293" s="1826"/>
      <c r="AS293" s="1826"/>
      <c r="AT293" s="1826"/>
      <c r="AU293" s="1826"/>
      <c r="AV293" s="1826"/>
      <c r="AW293" s="1826"/>
      <c r="AX293" s="1826"/>
      <c r="AY293" s="1826"/>
      <c r="AZ293" s="1826"/>
      <c r="BA293" s="1826"/>
      <c r="BB293" s="1826"/>
      <c r="BC293" s="1826"/>
      <c r="BD293" s="1826"/>
      <c r="BE293" s="1826"/>
      <c r="BF293" s="1826"/>
      <c r="BG293" s="1639"/>
    </row>
    <row customHeight="1" ht="0.75">
      <c r="A294" s="1170" t="s">
        <v>1232</v>
      </c>
      <c r="B294" s="1170"/>
      <c r="C294" s="1170"/>
      <c r="D294" s="1164"/>
      <c r="E294" s="1174"/>
      <c r="F294" s="2553"/>
      <c r="G294" s="2532"/>
      <c r="H294" s="2557"/>
      <c r="I294" s="2558"/>
      <c r="J294" s="2559"/>
      <c r="K294" s="2559"/>
      <c r="L294" s="2551"/>
      <c r="M294" s="2285"/>
      <c r="N294" s="2560"/>
      <c r="O294" s="2561"/>
      <c r="P294" s="2605"/>
      <c r="Q294" s="2556"/>
      <c r="R294" s="2556"/>
      <c r="S294" s="2556"/>
      <c r="T294" s="2556"/>
      <c r="U294" s="2556"/>
      <c r="V294" s="2556"/>
      <c r="W294" s="2556"/>
      <c r="X294" s="2556"/>
      <c r="Y294" s="2556"/>
      <c r="Z294" s="2038"/>
      <c r="AA294" s="2039"/>
      <c r="AB294" s="2039"/>
      <c r="AC294" s="2040"/>
      <c r="AD294" s="2040"/>
      <c r="AE294" s="2041"/>
      <c r="AF294" s="2555"/>
      <c r="AG294" s="2551"/>
      <c r="AH294" s="2551"/>
      <c r="AI294" s="2555"/>
      <c r="AJ294" s="2551"/>
      <c r="AK294" s="2551"/>
      <c r="AL294" s="1989"/>
      <c r="AM294" s="1826"/>
      <c r="AN294" s="1826"/>
      <c r="AO294" s="1826"/>
      <c r="AP294" s="1826"/>
      <c r="AQ294" s="1826"/>
      <c r="AR294" s="1826"/>
      <c r="AS294" s="1826"/>
      <c r="AT294" s="1826"/>
      <c r="AU294" s="1826"/>
      <c r="AV294" s="1826"/>
      <c r="AW294" s="1826"/>
      <c r="AX294" s="1826"/>
      <c r="AY294" s="1826"/>
      <c r="AZ294" s="1826"/>
      <c r="BA294" s="1826"/>
      <c r="BB294" s="1826"/>
      <c r="BC294" s="1826"/>
      <c r="BD294" s="1826"/>
      <c r="BE294" s="1826"/>
      <c r="BF294" s="1826"/>
      <c r="BG294" s="1639"/>
    </row>
    <row customHeight="1" ht="0.75">
      <c r="A295" s="1170" t="s">
        <v>1232</v>
      </c>
      <c r="B295" s="1170"/>
      <c r="C295" s="1170"/>
      <c r="D295" s="1164"/>
      <c r="E295" s="1174"/>
      <c r="F295" s="2553"/>
      <c r="G295" s="2532"/>
      <c r="H295" s="2557"/>
      <c r="I295" s="2558"/>
      <c r="J295" s="2559"/>
      <c r="K295" s="2559"/>
      <c r="L295" s="2551"/>
      <c r="M295" s="2285"/>
      <c r="N295" s="2560"/>
      <c r="O295" s="2561"/>
      <c r="P295" s="2606"/>
      <c r="Q295" s="2556"/>
      <c r="R295" s="2556"/>
      <c r="S295" s="2556"/>
      <c r="T295" s="2556"/>
      <c r="U295" s="2556"/>
      <c r="V295" s="2556"/>
      <c r="W295" s="2556"/>
      <c r="X295" s="2556"/>
      <c r="Y295" s="2556"/>
      <c r="Z295" s="2042"/>
      <c r="AA295" s="2043"/>
      <c r="AB295" s="2044"/>
      <c r="AC295" s="2045"/>
      <c r="AD295" s="2044"/>
      <c r="AE295" s="2045"/>
      <c r="AF295" s="2555"/>
      <c r="AG295" s="2551"/>
      <c r="AH295" s="2551"/>
      <c r="AI295" s="2555"/>
      <c r="AJ295" s="2551"/>
      <c r="AK295" s="2551"/>
      <c r="AL295" s="1989"/>
      <c r="AM295" s="1826"/>
      <c r="AN295" s="1826"/>
      <c r="AO295" s="1826"/>
      <c r="AP295" s="1826"/>
      <c r="AQ295" s="1826"/>
      <c r="AR295" s="1826"/>
      <c r="AS295" s="1826"/>
      <c r="AT295" s="1826"/>
      <c r="AU295" s="1826"/>
      <c r="AV295" s="1826"/>
      <c r="AW295" s="1826"/>
      <c r="AX295" s="1826"/>
      <c r="AY295" s="1826"/>
      <c r="AZ295" s="1826"/>
      <c r="BA295" s="1826"/>
      <c r="BB295" s="1826"/>
      <c r="BC295" s="1826"/>
      <c r="BD295" s="1826"/>
      <c r="BE295" s="1826"/>
      <c r="BF295" s="1826"/>
      <c r="BG295" s="1639"/>
    </row>
    <row customHeight="1" ht="0.75">
      <c r="A296" s="1170" t="s">
        <v>1232</v>
      </c>
      <c r="B296" s="1170"/>
      <c r="C296" s="1170"/>
      <c r="D296" s="1164"/>
      <c r="E296" s="1174"/>
      <c r="F296" s="2553"/>
      <c r="G296" s="2532"/>
      <c r="H296" s="2557"/>
      <c r="I296" s="2558"/>
      <c r="J296" s="2559"/>
      <c r="K296" s="2559"/>
      <c r="L296" s="2551"/>
      <c r="M296" s="2285"/>
      <c r="N296" s="2560"/>
      <c r="O296" s="2561"/>
      <c r="P296" s="2607"/>
      <c r="Q296" s="2556"/>
      <c r="R296" s="2556"/>
      <c r="S296" s="2556"/>
      <c r="T296" s="2556"/>
      <c r="U296" s="2556"/>
      <c r="V296" s="2556"/>
      <c r="W296" s="2556"/>
      <c r="X296" s="2556"/>
      <c r="Y296" s="2556"/>
      <c r="Z296" s="2038"/>
      <c r="AA296" s="2039"/>
      <c r="AB296" s="2046"/>
      <c r="AC296" s="2040"/>
      <c r="AD296" s="2040"/>
      <c r="AE296" s="2047"/>
      <c r="AF296" s="2555"/>
      <c r="AG296" s="2551"/>
      <c r="AH296" s="2551"/>
      <c r="AI296" s="2555"/>
      <c r="AJ296" s="2551"/>
      <c r="AK296" s="2551"/>
      <c r="AL296" s="1989"/>
      <c r="AM296" s="1826"/>
      <c r="AN296" s="1826"/>
      <c r="AO296" s="1826"/>
      <c r="AP296" s="1826"/>
      <c r="AQ296" s="1826"/>
      <c r="AR296" s="1826"/>
      <c r="AS296" s="1826"/>
      <c r="AT296" s="1826"/>
      <c r="AU296" s="1826"/>
      <c r="AV296" s="1826"/>
      <c r="AW296" s="1826"/>
      <c r="AX296" s="1826"/>
      <c r="AY296" s="1826"/>
      <c r="AZ296" s="1826"/>
      <c r="BA296" s="1826"/>
      <c r="BB296" s="1826"/>
      <c r="BC296" s="1826"/>
      <c r="BD296" s="1826"/>
      <c r="BE296" s="1826"/>
      <c r="BF296" s="1826"/>
      <c r="BG296" s="1639"/>
    </row>
    <row customHeight="1" ht="0.75">
      <c r="A297" s="1170" t="s">
        <v>1232</v>
      </c>
      <c r="B297" s="1170"/>
      <c r="C297" s="1170"/>
      <c r="D297" s="1164"/>
      <c r="E297" s="1174"/>
      <c r="F297" s="2553"/>
      <c r="G297" s="2532"/>
      <c r="H297" s="2557"/>
      <c r="I297" s="2558"/>
      <c r="J297" s="2559"/>
      <c r="K297" s="2559"/>
      <c r="L297" s="2551"/>
      <c r="M297" s="2285"/>
      <c r="N297" s="2039"/>
      <c r="O297" s="2039"/>
      <c r="P297" s="2046"/>
      <c r="Q297" s="2039"/>
      <c r="R297" s="2039"/>
      <c r="S297" s="2039"/>
      <c r="T297" s="2039"/>
      <c r="U297" s="2039"/>
      <c r="V297" s="2039"/>
      <c r="W297" s="2039"/>
      <c r="X297" s="2039"/>
      <c r="Y297" s="2039"/>
      <c r="Z297" s="2039"/>
      <c r="AA297" s="2039"/>
      <c r="AB297" s="2039"/>
      <c r="AC297" s="2039"/>
      <c r="AD297" s="2039"/>
      <c r="AE297" s="2048"/>
      <c r="AF297" s="2555"/>
      <c r="AG297" s="2551"/>
      <c r="AH297" s="2551"/>
      <c r="AI297" s="2555"/>
      <c r="AJ297" s="2551"/>
      <c r="AK297" s="2551"/>
      <c r="AL297" s="1989"/>
      <c r="AM297" s="1826"/>
      <c r="AN297" s="1826"/>
      <c r="AO297" s="1826"/>
      <c r="AP297" s="1826"/>
      <c r="AQ297" s="1826"/>
      <c r="AR297" s="1826"/>
      <c r="AS297" s="1826"/>
      <c r="AT297" s="1826"/>
      <c r="AU297" s="1826"/>
      <c r="AV297" s="1826"/>
      <c r="AW297" s="1826"/>
      <c r="AX297" s="1826"/>
      <c r="AY297" s="1826"/>
      <c r="AZ297" s="1826"/>
      <c r="BA297" s="1826"/>
      <c r="BB297" s="1826"/>
      <c r="BC297" s="1826"/>
      <c r="BD297" s="1826"/>
      <c r="BE297" s="1826"/>
      <c r="BF297" s="1826"/>
      <c r="BG297" s="1639"/>
    </row>
    <row customHeight="1" ht="11.25">
      <c r="A298" s="1170" t="s">
        <v>1232</v>
      </c>
      <c r="B298" s="1170"/>
      <c r="C298" s="1170"/>
      <c r="D298" s="1164"/>
      <c r="E298" s="1174"/>
      <c r="F298" s="1832"/>
      <c r="G298" s="687" t="s">
        <v>103</v>
      </c>
      <c r="H298" s="2532" t="s">
        <v>105</v>
      </c>
      <c r="I298" s="2533"/>
      <c r="J298" s="2502"/>
      <c r="K298" s="2534" t="s">
        <v>1335</v>
      </c>
      <c r="L298" s="2124" t="s">
        <v>19</v>
      </c>
      <c r="M298" s="2125"/>
      <c r="N298" s="1987"/>
      <c r="O298" s="1181" t="s">
        <v>514</v>
      </c>
      <c r="P298" s="1182"/>
      <c r="Q298" s="1182"/>
      <c r="R298" s="1182"/>
      <c r="S298" s="1182"/>
      <c r="T298" s="1182"/>
      <c r="U298" s="1182"/>
      <c r="V298" s="1182"/>
      <c r="W298" s="1182"/>
      <c r="X298" s="1182"/>
      <c r="Y298" s="1182"/>
      <c r="Z298" s="1182"/>
      <c r="AA298" s="1182"/>
      <c r="AB298" s="1182"/>
      <c r="AC298" s="1182"/>
      <c r="AD298" s="1182"/>
      <c r="AE298" s="1182"/>
      <c r="AF298" s="2523">
        <v>6</v>
      </c>
      <c r="AG298" s="2524" t="s">
        <v>1302</v>
      </c>
      <c r="AH298" s="2524" t="s">
        <v>1334</v>
      </c>
      <c r="AI298" s="2523">
        <v>6</v>
      </c>
      <c r="AJ298" s="2524" t="s">
        <v>1302</v>
      </c>
      <c r="AK298" s="2524" t="s">
        <v>1334</v>
      </c>
      <c r="AL298" s="1989"/>
      <c r="AM298" s="1826"/>
      <c r="AN298" s="1826"/>
      <c r="AO298" s="1826"/>
      <c r="AP298" s="1826"/>
      <c r="AQ298" s="1826"/>
      <c r="AR298" s="1826"/>
      <c r="AS298" s="1826"/>
      <c r="AT298" s="1826"/>
      <c r="AU298" s="1826"/>
      <c r="AV298" s="1826"/>
      <c r="AW298" s="1826"/>
      <c r="AX298" s="1826"/>
      <c r="AY298" s="1826"/>
      <c r="AZ298" s="1826"/>
      <c r="BA298" s="1826"/>
      <c r="BB298" s="1826"/>
      <c r="BC298" s="1826"/>
      <c r="BD298" s="1826"/>
      <c r="BE298" s="1826"/>
      <c r="BF298" s="1826"/>
      <c r="BG298" s="1639"/>
    </row>
    <row customHeight="1" ht="11.25">
      <c r="A299" s="1170" t="s">
        <v>1232</v>
      </c>
      <c r="B299" s="1170"/>
      <c r="C299" s="1170"/>
      <c r="D299" s="1164"/>
      <c r="E299" s="1174"/>
      <c r="F299" s="1832"/>
      <c r="G299" s="1833"/>
      <c r="H299" s="2532" t="s">
        <v>514</v>
      </c>
      <c r="I299" s="2533"/>
      <c r="J299" s="2502"/>
      <c r="K299" s="2534"/>
      <c r="L299" s="2124"/>
      <c r="M299" s="2125"/>
      <c r="N299" s="2525"/>
      <c r="O299" s="2526">
        <v>1</v>
      </c>
      <c r="P299" s="2527" t="s">
        <v>19</v>
      </c>
      <c r="Q299" s="2530" t="s">
        <v>22</v>
      </c>
      <c r="R299" s="2530" t="s">
        <v>22</v>
      </c>
      <c r="S299" s="2530" t="s">
        <v>22</v>
      </c>
      <c r="T299" s="2530" t="s">
        <v>22</v>
      </c>
      <c r="U299" s="2530" t="s">
        <v>22</v>
      </c>
      <c r="V299" s="2530" t="s">
        <v>22</v>
      </c>
      <c r="W299" s="2530" t="s">
        <v>22</v>
      </c>
      <c r="X299" s="2530" t="s">
        <v>22</v>
      </c>
      <c r="Y299" s="2530"/>
      <c r="Z299" s="1179"/>
      <c r="AA299" s="1180"/>
      <c r="AB299" s="1180"/>
      <c r="AC299" s="1184"/>
      <c r="AD299" s="1184"/>
      <c r="AE299" s="1185"/>
      <c r="AF299" s="2523"/>
      <c r="AG299" s="2524"/>
      <c r="AH299" s="2524"/>
      <c r="AI299" s="2523"/>
      <c r="AJ299" s="2524"/>
      <c r="AK299" s="2524"/>
      <c r="AL299" s="1989"/>
      <c r="AM299" s="1826"/>
      <c r="AN299" s="1826"/>
      <c r="AO299" s="1826"/>
      <c r="AP299" s="1826"/>
      <c r="AQ299" s="1826"/>
      <c r="AR299" s="1826"/>
      <c r="AS299" s="1826"/>
      <c r="AT299" s="1826"/>
      <c r="AU299" s="1826"/>
      <c r="AV299" s="1826"/>
      <c r="AW299" s="1826"/>
      <c r="AX299" s="1826"/>
      <c r="AY299" s="1826"/>
      <c r="AZ299" s="1826"/>
      <c r="BA299" s="1826"/>
      <c r="BB299" s="1826"/>
      <c r="BC299" s="1826"/>
      <c r="BD299" s="1826"/>
      <c r="BE299" s="1826"/>
      <c r="BF299" s="1826"/>
      <c r="BG299" s="1639"/>
    </row>
    <row customHeight="1" ht="11.25">
      <c r="A300" s="1170" t="s">
        <v>1232</v>
      </c>
      <c r="B300" s="1170"/>
      <c r="C300" s="1170"/>
      <c r="D300" s="1164"/>
      <c r="E300" s="1174"/>
      <c r="F300" s="1832"/>
      <c r="G300" s="1833"/>
      <c r="H300" s="2532" t="s">
        <v>514</v>
      </c>
      <c r="I300" s="2533"/>
      <c r="J300" s="2502"/>
      <c r="K300" s="2534"/>
      <c r="L300" s="2124"/>
      <c r="M300" s="2125"/>
      <c r="N300" s="2525"/>
      <c r="O300" s="2526"/>
      <c r="P300" s="2528"/>
      <c r="Q300" s="2530"/>
      <c r="R300" s="2530"/>
      <c r="S300" s="2531"/>
      <c r="T300" s="2530"/>
      <c r="U300" s="2530"/>
      <c r="V300" s="2530"/>
      <c r="W300" s="2530"/>
      <c r="X300" s="2530"/>
      <c r="Y300" s="2530"/>
      <c r="Z300" s="1831"/>
      <c r="AA300" s="1797">
        <v>1</v>
      </c>
      <c r="AB300" s="1183" t="s">
        <v>1325</v>
      </c>
      <c r="AC300" s="1173">
        <v>2806.07</v>
      </c>
      <c r="AD300" s="1183" t="str">
        <f>AB300</f>
        <v>     Амортизационные отчисления в результате переоценки основных средств и нематериальных активов</v>
      </c>
      <c r="AE300" s="1173">
        <v>2806.07</v>
      </c>
      <c r="AF300" s="2523"/>
      <c r="AG300" s="2524"/>
      <c r="AH300" s="2524"/>
      <c r="AI300" s="2523"/>
      <c r="AJ300" s="2524"/>
      <c r="AK300" s="2524"/>
      <c r="AL300" s="1989"/>
      <c r="AM300" s="1826"/>
      <c r="AN300" s="1826"/>
      <c r="AO300" s="1826"/>
      <c r="AP300" s="1826"/>
      <c r="AQ300" s="1826"/>
      <c r="AR300" s="1826"/>
      <c r="AS300" s="1826"/>
      <c r="AT300" s="1826"/>
      <c r="AU300" s="1826"/>
      <c r="AV300" s="1826"/>
      <c r="AW300" s="1826"/>
      <c r="AX300" s="1826"/>
      <c r="AY300" s="1826"/>
      <c r="AZ300" s="1826"/>
      <c r="BA300" s="1826"/>
      <c r="BB300" s="1826"/>
      <c r="BC300" s="1826"/>
      <c r="BD300" s="1826"/>
      <c r="BE300" s="1826"/>
      <c r="BF300" s="1826"/>
      <c r="BG300" s="1639"/>
    </row>
    <row customHeight="1" ht="11.25">
      <c r="A301" s="1170" t="s">
        <v>1232</v>
      </c>
      <c r="B301" s="1170"/>
      <c r="C301" s="1170"/>
      <c r="D301" s="1164"/>
      <c r="E301" s="1174"/>
      <c r="F301" s="1832"/>
      <c r="G301" s="1833"/>
      <c r="H301" s="2532" t="s">
        <v>514</v>
      </c>
      <c r="I301" s="2533"/>
      <c r="J301" s="2502"/>
      <c r="K301" s="2534"/>
      <c r="L301" s="2124"/>
      <c r="M301" s="2125"/>
      <c r="N301" s="2525"/>
      <c r="O301" s="2526"/>
      <c r="P301" s="2529"/>
      <c r="Q301" s="2530"/>
      <c r="R301" s="2530"/>
      <c r="S301" s="2531"/>
      <c r="T301" s="2530"/>
      <c r="U301" s="2530"/>
      <c r="V301" s="2530"/>
      <c r="W301" s="2530"/>
      <c r="X301" s="2530"/>
      <c r="Y301" s="2530"/>
      <c r="Z301" s="1179"/>
      <c r="AA301" s="1180"/>
      <c r="AB301" s="1245" t="s">
        <v>1313</v>
      </c>
      <c r="AC301" s="1184"/>
      <c r="AD301" s="1184"/>
      <c r="AE301" s="1186"/>
      <c r="AF301" s="2523"/>
      <c r="AG301" s="2524"/>
      <c r="AH301" s="2524"/>
      <c r="AI301" s="2523"/>
      <c r="AJ301" s="2524"/>
      <c r="AK301" s="2524"/>
      <c r="AL301" s="1989"/>
      <c r="AM301" s="1826"/>
      <c r="AN301" s="1826"/>
      <c r="AO301" s="1826"/>
      <c r="AP301" s="1826"/>
      <c r="AQ301" s="1826"/>
      <c r="AR301" s="1826"/>
      <c r="AS301" s="1826"/>
      <c r="AT301" s="1826"/>
      <c r="AU301" s="1826"/>
      <c r="AV301" s="1826"/>
      <c r="AW301" s="1826"/>
      <c r="AX301" s="1826"/>
      <c r="AY301" s="1826"/>
      <c r="AZ301" s="1826"/>
      <c r="BA301" s="1826"/>
      <c r="BB301" s="1826"/>
      <c r="BC301" s="1826"/>
      <c r="BD301" s="1826"/>
      <c r="BE301" s="1826"/>
      <c r="BF301" s="1826"/>
      <c r="BG301" s="1639"/>
    </row>
    <row customHeight="1" ht="11.25">
      <c r="A302" s="1170" t="s">
        <v>1232</v>
      </c>
      <c r="B302" s="1170"/>
      <c r="C302" s="1170"/>
      <c r="D302" s="1164"/>
      <c r="E302" s="1174"/>
      <c r="F302" s="1832"/>
      <c r="G302" s="1833"/>
      <c r="H302" s="2532" t="s">
        <v>514</v>
      </c>
      <c r="I302" s="2533"/>
      <c r="J302" s="2502"/>
      <c r="K302" s="2534"/>
      <c r="L302" s="2124"/>
      <c r="M302" s="2125"/>
      <c r="N302" s="1179"/>
      <c r="O302" s="1180"/>
      <c r="P302" s="1172" t="s">
        <v>1314</v>
      </c>
      <c r="Q302" s="1180"/>
      <c r="R302" s="1180"/>
      <c r="S302" s="1180"/>
      <c r="T302" s="1180"/>
      <c r="U302" s="1180"/>
      <c r="V302" s="1180"/>
      <c r="W302" s="1180"/>
      <c r="X302" s="1180"/>
      <c r="Y302" s="1180"/>
      <c r="Z302" s="1180"/>
      <c r="AA302" s="1180"/>
      <c r="AB302" s="1180"/>
      <c r="AC302" s="1180"/>
      <c r="AD302" s="1180"/>
      <c r="AE302" s="1187"/>
      <c r="AF302" s="2523"/>
      <c r="AG302" s="2524"/>
      <c r="AH302" s="2524"/>
      <c r="AI302" s="2523"/>
      <c r="AJ302" s="2524"/>
      <c r="AK302" s="2524"/>
      <c r="AL302" s="1989"/>
      <c r="AM302" s="1826"/>
      <c r="AN302" s="1826"/>
      <c r="AO302" s="1826"/>
      <c r="AP302" s="1826"/>
      <c r="AQ302" s="1826"/>
      <c r="AR302" s="1826"/>
      <c r="AS302" s="1826"/>
      <c r="AT302" s="1826"/>
      <c r="AU302" s="1826"/>
      <c r="AV302" s="1826"/>
      <c r="AW302" s="1826"/>
      <c r="AX302" s="1826"/>
      <c r="AY302" s="1826"/>
      <c r="AZ302" s="1826"/>
      <c r="BA302" s="1826"/>
      <c r="BB302" s="1826"/>
      <c r="BC302" s="1826"/>
      <c r="BD302" s="1826"/>
      <c r="BE302" s="1826"/>
      <c r="BF302" s="1826"/>
      <c r="BG302" s="1639"/>
    </row>
    <row customHeight="1" ht="12">
      <c r="A303" s="1170" t="s">
        <v>1232</v>
      </c>
      <c r="B303" s="1170"/>
      <c r="C303" s="1170"/>
      <c r="D303" s="1164"/>
      <c r="E303" s="1174"/>
      <c r="F303" s="2554"/>
      <c r="G303" s="1194"/>
      <c r="H303" s="1194"/>
      <c r="I303" s="2552" t="s">
        <v>1300</v>
      </c>
      <c r="J303" s="2552"/>
      <c r="K303" s="2552"/>
      <c r="L303" s="1177"/>
      <c r="M303" s="1177"/>
      <c r="N303" s="1178"/>
      <c r="O303" s="1178"/>
      <c r="P303" s="1178"/>
      <c r="Q303" s="1178"/>
      <c r="R303" s="1178"/>
      <c r="S303" s="1178"/>
      <c r="T303" s="1178"/>
      <c r="U303" s="1178"/>
      <c r="V303" s="1178"/>
      <c r="W303" s="1178"/>
      <c r="X303" s="1178"/>
      <c r="Y303" s="1178"/>
      <c r="Z303" s="1178"/>
      <c r="AA303" s="1178"/>
      <c r="AB303" s="1178"/>
      <c r="AC303" s="1178"/>
      <c r="AD303" s="1178"/>
      <c r="AE303" s="1178"/>
      <c r="AF303" s="1178"/>
      <c r="AG303" s="1177"/>
      <c r="AH303" s="1177"/>
      <c r="AI303" s="1178"/>
      <c r="AJ303" s="1177"/>
      <c r="AK303" s="1178"/>
      <c r="AL303" s="1989"/>
      <c r="AM303" s="1826"/>
      <c r="AN303" s="1826"/>
      <c r="AO303" s="1826"/>
      <c r="AP303" s="1826"/>
      <c r="AQ303" s="1826"/>
      <c r="AR303" s="1826"/>
      <c r="AS303" s="1826"/>
      <c r="AT303" s="1826"/>
      <c r="AU303" s="1826"/>
      <c r="AV303" s="1826"/>
      <c r="AW303" s="1826"/>
      <c r="AX303" s="1826"/>
      <c r="AY303" s="1826"/>
      <c r="AZ303" s="1826"/>
      <c r="BA303" s="1826"/>
      <c r="BB303" s="1826"/>
      <c r="BC303" s="1826"/>
      <c r="BD303" s="1826"/>
      <c r="BE303" s="1826"/>
      <c r="BF303" s="1826"/>
      <c r="BG303" s="1639"/>
    </row>
    <row customHeight="1" ht="0.75">
      <c r="A304" s="1170" t="s">
        <v>1232</v>
      </c>
      <c r="B304" s="1170"/>
      <c r="C304" s="1170"/>
      <c r="D304" s="1164"/>
      <c r="E304" s="1174"/>
      <c r="F304" s="2553">
        <v>2025</v>
      </c>
      <c r="G304" s="2532"/>
      <c r="H304" s="2557" t="s">
        <v>514</v>
      </c>
      <c r="I304" s="2558"/>
      <c r="J304" s="2559"/>
      <c r="K304" s="2559"/>
      <c r="L304" s="2551"/>
      <c r="M304" s="2285"/>
      <c r="N304" s="2037"/>
      <c r="O304" s="2036"/>
      <c r="P304" s="2037"/>
      <c r="Q304" s="2037"/>
      <c r="R304" s="2037"/>
      <c r="S304" s="2037"/>
      <c r="T304" s="2037"/>
      <c r="U304" s="2037"/>
      <c r="V304" s="2037"/>
      <c r="W304" s="2037"/>
      <c r="X304" s="2037"/>
      <c r="Y304" s="2037"/>
      <c r="Z304" s="2037"/>
      <c r="AA304" s="2037"/>
      <c r="AB304" s="2037"/>
      <c r="AC304" s="2037"/>
      <c r="AD304" s="2037"/>
      <c r="AE304" s="2037"/>
      <c r="AF304" s="2555"/>
      <c r="AG304" s="2551"/>
      <c r="AH304" s="2551"/>
      <c r="AI304" s="2555"/>
      <c r="AJ304" s="2551"/>
      <c r="AK304" s="2551"/>
      <c r="AL304" s="1989"/>
      <c r="AM304" s="1826"/>
      <c r="AN304" s="1826"/>
      <c r="AO304" s="1826"/>
      <c r="AP304" s="1826"/>
      <c r="AQ304" s="1826"/>
      <c r="AR304" s="1826"/>
      <c r="AS304" s="1826"/>
      <c r="AT304" s="1826"/>
      <c r="AU304" s="1826"/>
      <c r="AV304" s="1826"/>
      <c r="AW304" s="1826"/>
      <c r="AX304" s="1826"/>
      <c r="AY304" s="1826"/>
      <c r="AZ304" s="1826"/>
      <c r="BA304" s="1826"/>
      <c r="BB304" s="1826"/>
      <c r="BC304" s="1826"/>
      <c r="BD304" s="1826"/>
      <c r="BE304" s="1826"/>
      <c r="BF304" s="1826"/>
      <c r="BG304" s="1639"/>
    </row>
    <row customHeight="1" ht="0.75">
      <c r="A305" s="1170" t="s">
        <v>1232</v>
      </c>
      <c r="B305" s="1170"/>
      <c r="C305" s="1170"/>
      <c r="D305" s="1164"/>
      <c r="E305" s="1174"/>
      <c r="F305" s="2553"/>
      <c r="G305" s="2532"/>
      <c r="H305" s="2557"/>
      <c r="I305" s="2558"/>
      <c r="J305" s="2559"/>
      <c r="K305" s="2559"/>
      <c r="L305" s="2551"/>
      <c r="M305" s="2285"/>
      <c r="N305" s="2560"/>
      <c r="O305" s="2561"/>
      <c r="P305" s="2605"/>
      <c r="Q305" s="2556"/>
      <c r="R305" s="2556"/>
      <c r="S305" s="2556"/>
      <c r="T305" s="2556"/>
      <c r="U305" s="2556"/>
      <c r="V305" s="2556"/>
      <c r="W305" s="2556"/>
      <c r="X305" s="2556"/>
      <c r="Y305" s="2556"/>
      <c r="Z305" s="2038"/>
      <c r="AA305" s="2039"/>
      <c r="AB305" s="2039"/>
      <c r="AC305" s="2040"/>
      <c r="AD305" s="2040"/>
      <c r="AE305" s="2041"/>
      <c r="AF305" s="2555"/>
      <c r="AG305" s="2551"/>
      <c r="AH305" s="2551"/>
      <c r="AI305" s="2555"/>
      <c r="AJ305" s="2551"/>
      <c r="AK305" s="2551"/>
      <c r="AL305" s="1989"/>
      <c r="AM305" s="1826"/>
      <c r="AN305" s="1826"/>
      <c r="AO305" s="1826"/>
      <c r="AP305" s="1826"/>
      <c r="AQ305" s="1826"/>
      <c r="AR305" s="1826"/>
      <c r="AS305" s="1826"/>
      <c r="AT305" s="1826"/>
      <c r="AU305" s="1826"/>
      <c r="AV305" s="1826"/>
      <c r="AW305" s="1826"/>
      <c r="AX305" s="1826"/>
      <c r="AY305" s="1826"/>
      <c r="AZ305" s="1826"/>
      <c r="BA305" s="1826"/>
      <c r="BB305" s="1826"/>
      <c r="BC305" s="1826"/>
      <c r="BD305" s="1826"/>
      <c r="BE305" s="1826"/>
      <c r="BF305" s="1826"/>
      <c r="BG305" s="1639"/>
    </row>
    <row customHeight="1" ht="0.75">
      <c r="A306" s="1170" t="s">
        <v>1232</v>
      </c>
      <c r="B306" s="1170"/>
      <c r="C306" s="1170"/>
      <c r="D306" s="1164"/>
      <c r="E306" s="1174"/>
      <c r="F306" s="2553"/>
      <c r="G306" s="2532"/>
      <c r="H306" s="2557"/>
      <c r="I306" s="2558"/>
      <c r="J306" s="2559"/>
      <c r="K306" s="2559"/>
      <c r="L306" s="2551"/>
      <c r="M306" s="2285"/>
      <c r="N306" s="2560"/>
      <c r="O306" s="2561"/>
      <c r="P306" s="2606"/>
      <c r="Q306" s="2556"/>
      <c r="R306" s="2556"/>
      <c r="S306" s="2556"/>
      <c r="T306" s="2556"/>
      <c r="U306" s="2556"/>
      <c r="V306" s="2556"/>
      <c r="W306" s="2556"/>
      <c r="X306" s="2556"/>
      <c r="Y306" s="2556"/>
      <c r="Z306" s="2042"/>
      <c r="AA306" s="2043"/>
      <c r="AB306" s="2044"/>
      <c r="AC306" s="2045"/>
      <c r="AD306" s="2044"/>
      <c r="AE306" s="2045"/>
      <c r="AF306" s="2555"/>
      <c r="AG306" s="2551"/>
      <c r="AH306" s="2551"/>
      <c r="AI306" s="2555"/>
      <c r="AJ306" s="2551"/>
      <c r="AK306" s="2551"/>
      <c r="AL306" s="1989"/>
      <c r="AM306" s="1826"/>
      <c r="AN306" s="1826"/>
      <c r="AO306" s="1826"/>
      <c r="AP306" s="1826"/>
      <c r="AQ306" s="1826"/>
      <c r="AR306" s="1826"/>
      <c r="AS306" s="1826"/>
      <c r="AT306" s="1826"/>
      <c r="AU306" s="1826"/>
      <c r="AV306" s="1826"/>
      <c r="AW306" s="1826"/>
      <c r="AX306" s="1826"/>
      <c r="AY306" s="1826"/>
      <c r="AZ306" s="1826"/>
      <c r="BA306" s="1826"/>
      <c r="BB306" s="1826"/>
      <c r="BC306" s="1826"/>
      <c r="BD306" s="1826"/>
      <c r="BE306" s="1826"/>
      <c r="BF306" s="1826"/>
      <c r="BG306" s="1639"/>
    </row>
    <row customHeight="1" ht="0.75">
      <c r="A307" s="1170" t="s">
        <v>1232</v>
      </c>
      <c r="B307" s="1170"/>
      <c r="C307" s="1170"/>
      <c r="D307" s="1164"/>
      <c r="E307" s="1174"/>
      <c r="F307" s="2553"/>
      <c r="G307" s="2532"/>
      <c r="H307" s="2557"/>
      <c r="I307" s="2558"/>
      <c r="J307" s="2559"/>
      <c r="K307" s="2559"/>
      <c r="L307" s="2551"/>
      <c r="M307" s="2285"/>
      <c r="N307" s="2560"/>
      <c r="O307" s="2561"/>
      <c r="P307" s="2607"/>
      <c r="Q307" s="2556"/>
      <c r="R307" s="2556"/>
      <c r="S307" s="2556"/>
      <c r="T307" s="2556"/>
      <c r="U307" s="2556"/>
      <c r="V307" s="2556"/>
      <c r="W307" s="2556"/>
      <c r="X307" s="2556"/>
      <c r="Y307" s="2556"/>
      <c r="Z307" s="2038"/>
      <c r="AA307" s="2039"/>
      <c r="AB307" s="2046"/>
      <c r="AC307" s="2040"/>
      <c r="AD307" s="2040"/>
      <c r="AE307" s="2047"/>
      <c r="AF307" s="2555"/>
      <c r="AG307" s="2551"/>
      <c r="AH307" s="2551"/>
      <c r="AI307" s="2555"/>
      <c r="AJ307" s="2551"/>
      <c r="AK307" s="2551"/>
      <c r="AL307" s="1989"/>
      <c r="AM307" s="1826"/>
      <c r="AN307" s="1826"/>
      <c r="AO307" s="1826"/>
      <c r="AP307" s="1826"/>
      <c r="AQ307" s="1826"/>
      <c r="AR307" s="1826"/>
      <c r="AS307" s="1826"/>
      <c r="AT307" s="1826"/>
      <c r="AU307" s="1826"/>
      <c r="AV307" s="1826"/>
      <c r="AW307" s="1826"/>
      <c r="AX307" s="1826"/>
      <c r="AY307" s="1826"/>
      <c r="AZ307" s="1826"/>
      <c r="BA307" s="1826"/>
      <c r="BB307" s="1826"/>
      <c r="BC307" s="1826"/>
      <c r="BD307" s="1826"/>
      <c r="BE307" s="1826"/>
      <c r="BF307" s="1826"/>
      <c r="BG307" s="1639"/>
    </row>
    <row customHeight="1" ht="0.75">
      <c r="A308" s="1170" t="s">
        <v>1232</v>
      </c>
      <c r="B308" s="1170"/>
      <c r="C308" s="1170"/>
      <c r="D308" s="1164"/>
      <c r="E308" s="1174"/>
      <c r="F308" s="2553"/>
      <c r="G308" s="2532"/>
      <c r="H308" s="2557"/>
      <c r="I308" s="2558"/>
      <c r="J308" s="2559"/>
      <c r="K308" s="2559"/>
      <c r="L308" s="2551"/>
      <c r="M308" s="2285"/>
      <c r="N308" s="2039"/>
      <c r="O308" s="2039"/>
      <c r="P308" s="2046"/>
      <c r="Q308" s="2039"/>
      <c r="R308" s="2039"/>
      <c r="S308" s="2039"/>
      <c r="T308" s="2039"/>
      <c r="U308" s="2039"/>
      <c r="V308" s="2039"/>
      <c r="W308" s="2039"/>
      <c r="X308" s="2039"/>
      <c r="Y308" s="2039"/>
      <c r="Z308" s="2039"/>
      <c r="AA308" s="2039"/>
      <c r="AB308" s="2039"/>
      <c r="AC308" s="2039"/>
      <c r="AD308" s="2039"/>
      <c r="AE308" s="2048"/>
      <c r="AF308" s="2555"/>
      <c r="AG308" s="2551"/>
      <c r="AH308" s="2551"/>
      <c r="AI308" s="2555"/>
      <c r="AJ308" s="2551"/>
      <c r="AK308" s="2551"/>
      <c r="AL308" s="1989"/>
      <c r="AM308" s="1826"/>
      <c r="AN308" s="1826"/>
      <c r="AO308" s="1826"/>
      <c r="AP308" s="1826"/>
      <c r="AQ308" s="1826"/>
      <c r="AR308" s="1826"/>
      <c r="AS308" s="1826"/>
      <c r="AT308" s="1826"/>
      <c r="AU308" s="1826"/>
      <c r="AV308" s="1826"/>
      <c r="AW308" s="1826"/>
      <c r="AX308" s="1826"/>
      <c r="AY308" s="1826"/>
      <c r="AZ308" s="1826"/>
      <c r="BA308" s="1826"/>
      <c r="BB308" s="1826"/>
      <c r="BC308" s="1826"/>
      <c r="BD308" s="1826"/>
      <c r="BE308" s="1826"/>
      <c r="BF308" s="1826"/>
      <c r="BG308" s="1639"/>
    </row>
    <row customHeight="1" ht="12">
      <c r="A309" s="1170" t="s">
        <v>1232</v>
      </c>
      <c r="B309" s="1170"/>
      <c r="C309" s="1170"/>
      <c r="D309" s="1164"/>
      <c r="E309" s="1174"/>
      <c r="F309" s="2554"/>
      <c r="G309" s="1194"/>
      <c r="H309" s="1194"/>
      <c r="I309" s="2552" t="s">
        <v>1300</v>
      </c>
      <c r="J309" s="2552"/>
      <c r="K309" s="2552"/>
      <c r="L309" s="1177"/>
      <c r="M309" s="1177"/>
      <c r="N309" s="1178"/>
      <c r="O309" s="1178"/>
      <c r="P309" s="1178"/>
      <c r="Q309" s="1178"/>
      <c r="R309" s="1178"/>
      <c r="S309" s="1178"/>
      <c r="T309" s="1178"/>
      <c r="U309" s="1178"/>
      <c r="V309" s="1178"/>
      <c r="W309" s="1178"/>
      <c r="X309" s="1178"/>
      <c r="Y309" s="1178"/>
      <c r="Z309" s="1178"/>
      <c r="AA309" s="1178"/>
      <c r="AB309" s="1178"/>
      <c r="AC309" s="1178"/>
      <c r="AD309" s="1178"/>
      <c r="AE309" s="1178"/>
      <c r="AF309" s="1178"/>
      <c r="AG309" s="1177"/>
      <c r="AH309" s="1177"/>
      <c r="AI309" s="1178"/>
      <c r="AJ309" s="1177"/>
      <c r="AK309" s="1178"/>
      <c r="AL309" s="1989"/>
      <c r="AM309" s="1826"/>
      <c r="AN309" s="1826"/>
      <c r="AO309" s="1826"/>
      <c r="AP309" s="1826"/>
      <c r="AQ309" s="1826"/>
      <c r="AR309" s="1826"/>
      <c r="AS309" s="1826"/>
      <c r="AT309" s="1826"/>
      <c r="AU309" s="1826"/>
      <c r="AV309" s="1826"/>
      <c r="AW309" s="1826"/>
      <c r="AX309" s="1826"/>
      <c r="AY309" s="1826"/>
      <c r="AZ309" s="1826"/>
      <c r="BA309" s="1826"/>
      <c r="BB309" s="1826"/>
      <c r="BC309" s="1826"/>
      <c r="BD309" s="1826"/>
      <c r="BE309" s="1826"/>
      <c r="BF309" s="1826"/>
      <c r="BG309" s="1639"/>
    </row>
    <row customHeight="1" ht="0.75">
      <c r="A310" s="1170" t="s">
        <v>1232</v>
      </c>
      <c r="B310" s="1170"/>
      <c r="C310" s="1170"/>
      <c r="D310" s="1164"/>
      <c r="E310" s="1174"/>
      <c r="F310" s="2553">
        <v>2026</v>
      </c>
      <c r="G310" s="2532"/>
      <c r="H310" s="2557" t="s">
        <v>514</v>
      </c>
      <c r="I310" s="2558"/>
      <c r="J310" s="2559"/>
      <c r="K310" s="2559"/>
      <c r="L310" s="2551"/>
      <c r="M310" s="2285"/>
      <c r="N310" s="2037"/>
      <c r="O310" s="2036"/>
      <c r="P310" s="2037"/>
      <c r="Q310" s="2037"/>
      <c r="R310" s="2037"/>
      <c r="S310" s="2037"/>
      <c r="T310" s="2037"/>
      <c r="U310" s="2037"/>
      <c r="V310" s="2037"/>
      <c r="W310" s="2037"/>
      <c r="X310" s="2037"/>
      <c r="Y310" s="2037"/>
      <c r="Z310" s="2037"/>
      <c r="AA310" s="2037"/>
      <c r="AB310" s="2037"/>
      <c r="AC310" s="2037"/>
      <c r="AD310" s="2037"/>
      <c r="AE310" s="2037"/>
      <c r="AF310" s="2555"/>
      <c r="AG310" s="2551"/>
      <c r="AH310" s="2551"/>
      <c r="AI310" s="2555"/>
      <c r="AJ310" s="2551"/>
      <c r="AK310" s="2551"/>
      <c r="AL310" s="1989"/>
      <c r="AM310" s="1826"/>
      <c r="AN310" s="1826"/>
      <c r="AO310" s="1826"/>
      <c r="AP310" s="1826"/>
      <c r="AQ310" s="1826"/>
      <c r="AR310" s="1826"/>
      <c r="AS310" s="1826"/>
      <c r="AT310" s="1826"/>
      <c r="AU310" s="1826"/>
      <c r="AV310" s="1826"/>
      <c r="AW310" s="1826"/>
      <c r="AX310" s="1826"/>
      <c r="AY310" s="1826"/>
      <c r="AZ310" s="1826"/>
      <c r="BA310" s="1826"/>
      <c r="BB310" s="1826"/>
      <c r="BC310" s="1826"/>
      <c r="BD310" s="1826"/>
      <c r="BE310" s="1826"/>
      <c r="BF310" s="1826"/>
      <c r="BG310" s="1639"/>
    </row>
    <row customHeight="1" ht="0.75">
      <c r="A311" s="1170" t="s">
        <v>1232</v>
      </c>
      <c r="B311" s="1170"/>
      <c r="C311" s="1170"/>
      <c r="D311" s="1164"/>
      <c r="E311" s="1174"/>
      <c r="F311" s="2553"/>
      <c r="G311" s="2532"/>
      <c r="H311" s="2557"/>
      <c r="I311" s="2558"/>
      <c r="J311" s="2559"/>
      <c r="K311" s="2559"/>
      <c r="L311" s="2551"/>
      <c r="M311" s="2285"/>
      <c r="N311" s="2560"/>
      <c r="O311" s="2561"/>
      <c r="P311" s="2605"/>
      <c r="Q311" s="2556"/>
      <c r="R311" s="2556"/>
      <c r="S311" s="2556"/>
      <c r="T311" s="2556"/>
      <c r="U311" s="2556"/>
      <c r="V311" s="2556"/>
      <c r="W311" s="2556"/>
      <c r="X311" s="2556"/>
      <c r="Y311" s="2556"/>
      <c r="Z311" s="2038"/>
      <c r="AA311" s="2039"/>
      <c r="AB311" s="2039"/>
      <c r="AC311" s="2040"/>
      <c r="AD311" s="2040"/>
      <c r="AE311" s="2041"/>
      <c r="AF311" s="2555"/>
      <c r="AG311" s="2551"/>
      <c r="AH311" s="2551"/>
      <c r="AI311" s="2555"/>
      <c r="AJ311" s="2551"/>
      <c r="AK311" s="2551"/>
      <c r="AL311" s="1989"/>
      <c r="AM311" s="1826"/>
      <c r="AN311" s="1826"/>
      <c r="AO311" s="1826"/>
      <c r="AP311" s="1826"/>
      <c r="AQ311" s="1826"/>
      <c r="AR311" s="1826"/>
      <c r="AS311" s="1826"/>
      <c r="AT311" s="1826"/>
      <c r="AU311" s="1826"/>
      <c r="AV311" s="1826"/>
      <c r="AW311" s="1826"/>
      <c r="AX311" s="1826"/>
      <c r="AY311" s="1826"/>
      <c r="AZ311" s="1826"/>
      <c r="BA311" s="1826"/>
      <c r="BB311" s="1826"/>
      <c r="BC311" s="1826"/>
      <c r="BD311" s="1826"/>
      <c r="BE311" s="1826"/>
      <c r="BF311" s="1826"/>
      <c r="BG311" s="1639"/>
    </row>
    <row customHeight="1" ht="0.75">
      <c r="A312" s="1170" t="s">
        <v>1232</v>
      </c>
      <c r="B312" s="1170"/>
      <c r="C312" s="1170"/>
      <c r="D312" s="1164"/>
      <c r="E312" s="1174"/>
      <c r="F312" s="2553"/>
      <c r="G312" s="2532"/>
      <c r="H312" s="2557"/>
      <c r="I312" s="2558"/>
      <c r="J312" s="2559"/>
      <c r="K312" s="2559"/>
      <c r="L312" s="2551"/>
      <c r="M312" s="2285"/>
      <c r="N312" s="2560"/>
      <c r="O312" s="2561"/>
      <c r="P312" s="2606"/>
      <c r="Q312" s="2556"/>
      <c r="R312" s="2556"/>
      <c r="S312" s="2556"/>
      <c r="T312" s="2556"/>
      <c r="U312" s="2556"/>
      <c r="V312" s="2556"/>
      <c r="W312" s="2556"/>
      <c r="X312" s="2556"/>
      <c r="Y312" s="2556"/>
      <c r="Z312" s="2042"/>
      <c r="AA312" s="2043"/>
      <c r="AB312" s="2044"/>
      <c r="AC312" s="2045"/>
      <c r="AD312" s="2044"/>
      <c r="AE312" s="2045"/>
      <c r="AF312" s="2555"/>
      <c r="AG312" s="2551"/>
      <c r="AH312" s="2551"/>
      <c r="AI312" s="2555"/>
      <c r="AJ312" s="2551"/>
      <c r="AK312" s="2551"/>
      <c r="AL312" s="1989"/>
      <c r="AM312" s="1826"/>
      <c r="AN312" s="1826"/>
      <c r="AO312" s="1826"/>
      <c r="AP312" s="1826"/>
      <c r="AQ312" s="1826"/>
      <c r="AR312" s="1826"/>
      <c r="AS312" s="1826"/>
      <c r="AT312" s="1826"/>
      <c r="AU312" s="1826"/>
      <c r="AV312" s="1826"/>
      <c r="AW312" s="1826"/>
      <c r="AX312" s="1826"/>
      <c r="AY312" s="1826"/>
      <c r="AZ312" s="1826"/>
      <c r="BA312" s="1826"/>
      <c r="BB312" s="1826"/>
      <c r="BC312" s="1826"/>
      <c r="BD312" s="1826"/>
      <c r="BE312" s="1826"/>
      <c r="BF312" s="1826"/>
      <c r="BG312" s="1639"/>
    </row>
    <row customHeight="1" ht="0.75">
      <c r="A313" s="1170" t="s">
        <v>1232</v>
      </c>
      <c r="B313" s="1170"/>
      <c r="C313" s="1170"/>
      <c r="D313" s="1164"/>
      <c r="E313" s="1174"/>
      <c r="F313" s="2553"/>
      <c r="G313" s="2532"/>
      <c r="H313" s="2557"/>
      <c r="I313" s="2558"/>
      <c r="J313" s="2559"/>
      <c r="K313" s="2559"/>
      <c r="L313" s="2551"/>
      <c r="M313" s="2285"/>
      <c r="N313" s="2560"/>
      <c r="O313" s="2561"/>
      <c r="P313" s="2607"/>
      <c r="Q313" s="2556"/>
      <c r="R313" s="2556"/>
      <c r="S313" s="2556"/>
      <c r="T313" s="2556"/>
      <c r="U313" s="2556"/>
      <c r="V313" s="2556"/>
      <c r="W313" s="2556"/>
      <c r="X313" s="2556"/>
      <c r="Y313" s="2556"/>
      <c r="Z313" s="2038"/>
      <c r="AA313" s="2039"/>
      <c r="AB313" s="2046"/>
      <c r="AC313" s="2040"/>
      <c r="AD313" s="2040"/>
      <c r="AE313" s="2047"/>
      <c r="AF313" s="2555"/>
      <c r="AG313" s="2551"/>
      <c r="AH313" s="2551"/>
      <c r="AI313" s="2555"/>
      <c r="AJ313" s="2551"/>
      <c r="AK313" s="2551"/>
      <c r="AL313" s="1989"/>
      <c r="AM313" s="1826"/>
      <c r="AN313" s="1826"/>
      <c r="AO313" s="1826"/>
      <c r="AP313" s="1826"/>
      <c r="AQ313" s="1826"/>
      <c r="AR313" s="1826"/>
      <c r="AS313" s="1826"/>
      <c r="AT313" s="1826"/>
      <c r="AU313" s="1826"/>
      <c r="AV313" s="1826"/>
      <c r="AW313" s="1826"/>
      <c r="AX313" s="1826"/>
      <c r="AY313" s="1826"/>
      <c r="AZ313" s="1826"/>
      <c r="BA313" s="1826"/>
      <c r="BB313" s="1826"/>
      <c r="BC313" s="1826"/>
      <c r="BD313" s="1826"/>
      <c r="BE313" s="1826"/>
      <c r="BF313" s="1826"/>
      <c r="BG313" s="1639"/>
    </row>
    <row customHeight="1" ht="0.75">
      <c r="A314" s="1170" t="s">
        <v>1232</v>
      </c>
      <c r="B314" s="1170"/>
      <c r="C314" s="1170"/>
      <c r="D314" s="1164"/>
      <c r="E314" s="1174"/>
      <c r="F314" s="2553"/>
      <c r="G314" s="2532"/>
      <c r="H314" s="2557"/>
      <c r="I314" s="2558"/>
      <c r="J314" s="2559"/>
      <c r="K314" s="2559"/>
      <c r="L314" s="2551"/>
      <c r="M314" s="2285"/>
      <c r="N314" s="2039"/>
      <c r="O314" s="2039"/>
      <c r="P314" s="2046"/>
      <c r="Q314" s="2039"/>
      <c r="R314" s="2039"/>
      <c r="S314" s="2039"/>
      <c r="T314" s="2039"/>
      <c r="U314" s="2039"/>
      <c r="V314" s="2039"/>
      <c r="W314" s="2039"/>
      <c r="X314" s="2039"/>
      <c r="Y314" s="2039"/>
      <c r="Z314" s="2039"/>
      <c r="AA314" s="2039"/>
      <c r="AB314" s="2039"/>
      <c r="AC314" s="2039"/>
      <c r="AD314" s="2039"/>
      <c r="AE314" s="2048"/>
      <c r="AF314" s="2555"/>
      <c r="AG314" s="2551"/>
      <c r="AH314" s="2551"/>
      <c r="AI314" s="2555"/>
      <c r="AJ314" s="2551"/>
      <c r="AK314" s="2551"/>
      <c r="AL314" s="1989"/>
      <c r="AM314" s="1826"/>
      <c r="AN314" s="1826"/>
      <c r="AO314" s="1826"/>
      <c r="AP314" s="1826"/>
      <c r="AQ314" s="1826"/>
      <c r="AR314" s="1826"/>
      <c r="AS314" s="1826"/>
      <c r="AT314" s="1826"/>
      <c r="AU314" s="1826"/>
      <c r="AV314" s="1826"/>
      <c r="AW314" s="1826"/>
      <c r="AX314" s="1826"/>
      <c r="AY314" s="1826"/>
      <c r="AZ314" s="1826"/>
      <c r="BA314" s="1826"/>
      <c r="BB314" s="1826"/>
      <c r="BC314" s="1826"/>
      <c r="BD314" s="1826"/>
      <c r="BE314" s="1826"/>
      <c r="BF314" s="1826"/>
      <c r="BG314" s="1639"/>
    </row>
    <row customHeight="1" ht="12">
      <c r="A315" s="1170" t="s">
        <v>1232</v>
      </c>
      <c r="B315" s="1170"/>
      <c r="C315" s="1170"/>
      <c r="D315" s="1164"/>
      <c r="E315" s="1174"/>
      <c r="F315" s="2554"/>
      <c r="G315" s="1194"/>
      <c r="H315" s="1194"/>
      <c r="I315" s="2552" t="s">
        <v>1300</v>
      </c>
      <c r="J315" s="2552"/>
      <c r="K315" s="2552"/>
      <c r="L315" s="1177"/>
      <c r="M315" s="1177"/>
      <c r="N315" s="1178"/>
      <c r="O315" s="1178"/>
      <c r="P315" s="1178"/>
      <c r="Q315" s="1178"/>
      <c r="R315" s="1178"/>
      <c r="S315" s="1178"/>
      <c r="T315" s="1178"/>
      <c r="U315" s="1178"/>
      <c r="V315" s="1178"/>
      <c r="W315" s="1178"/>
      <c r="X315" s="1178"/>
      <c r="Y315" s="1178"/>
      <c r="Z315" s="1178"/>
      <c r="AA315" s="1178"/>
      <c r="AB315" s="1178"/>
      <c r="AC315" s="1178"/>
      <c r="AD315" s="1178"/>
      <c r="AE315" s="1178"/>
      <c r="AF315" s="1178"/>
      <c r="AG315" s="1177"/>
      <c r="AH315" s="1177"/>
      <c r="AI315" s="1178"/>
      <c r="AJ315" s="1177"/>
      <c r="AK315" s="1178"/>
      <c r="AL315" s="1989"/>
      <c r="AM315" s="1826"/>
      <c r="AN315" s="1826"/>
      <c r="AO315" s="1826"/>
      <c r="AP315" s="1826"/>
      <c r="AQ315" s="1826"/>
      <c r="AR315" s="1826"/>
      <c r="AS315" s="1826"/>
      <c r="AT315" s="1826"/>
      <c r="AU315" s="1826"/>
      <c r="AV315" s="1826"/>
      <c r="AW315" s="1826"/>
      <c r="AX315" s="1826"/>
      <c r="AY315" s="1826"/>
      <c r="AZ315" s="1826"/>
      <c r="BA315" s="1826"/>
      <c r="BB315" s="1826"/>
      <c r="BC315" s="1826"/>
      <c r="BD315" s="1826"/>
      <c r="BE315" s="1826"/>
      <c r="BF315" s="1826"/>
      <c r="BG315" s="1639"/>
    </row>
    <row customHeight="1" ht="0.75">
      <c r="A316" s="1170" t="s">
        <v>1232</v>
      </c>
      <c r="B316" s="1170"/>
      <c r="C316" s="1170"/>
      <c r="D316" s="1164"/>
      <c r="E316" s="1174"/>
      <c r="F316" s="2553">
        <v>2027</v>
      </c>
      <c r="G316" s="2532"/>
      <c r="H316" s="2557" t="s">
        <v>514</v>
      </c>
      <c r="I316" s="2558"/>
      <c r="J316" s="2559"/>
      <c r="K316" s="2559"/>
      <c r="L316" s="2551"/>
      <c r="M316" s="2285"/>
      <c r="N316" s="2037"/>
      <c r="O316" s="2036"/>
      <c r="P316" s="2037"/>
      <c r="Q316" s="2037"/>
      <c r="R316" s="2037"/>
      <c r="S316" s="2037"/>
      <c r="T316" s="2037"/>
      <c r="U316" s="2037"/>
      <c r="V316" s="2037"/>
      <c r="W316" s="2037"/>
      <c r="X316" s="2037"/>
      <c r="Y316" s="2037"/>
      <c r="Z316" s="2037"/>
      <c r="AA316" s="2037"/>
      <c r="AB316" s="2037"/>
      <c r="AC316" s="2037"/>
      <c r="AD316" s="2037"/>
      <c r="AE316" s="2037"/>
      <c r="AF316" s="2555"/>
      <c r="AG316" s="2551"/>
      <c r="AH316" s="2551"/>
      <c r="AI316" s="2555"/>
      <c r="AJ316" s="2551"/>
      <c r="AK316" s="2551"/>
      <c r="AL316" s="1989"/>
      <c r="AM316" s="1826"/>
      <c r="AN316" s="1826"/>
      <c r="AO316" s="1826"/>
      <c r="AP316" s="1826"/>
      <c r="AQ316" s="1826"/>
      <c r="AR316" s="1826"/>
      <c r="AS316" s="1826"/>
      <c r="AT316" s="1826"/>
      <c r="AU316" s="1826"/>
      <c r="AV316" s="1826"/>
      <c r="AW316" s="1826"/>
      <c r="AX316" s="1826"/>
      <c r="AY316" s="1826"/>
      <c r="AZ316" s="1826"/>
      <c r="BA316" s="1826"/>
      <c r="BB316" s="1826"/>
      <c r="BC316" s="1826"/>
      <c r="BD316" s="1826"/>
      <c r="BE316" s="1826"/>
      <c r="BF316" s="1826"/>
      <c r="BG316" s="1639"/>
    </row>
    <row customHeight="1" ht="0.75">
      <c r="A317" s="1170" t="s">
        <v>1232</v>
      </c>
      <c r="B317" s="1170"/>
      <c r="C317" s="1170"/>
      <c r="D317" s="1164"/>
      <c r="E317" s="1174"/>
      <c r="F317" s="2553"/>
      <c r="G317" s="2532"/>
      <c r="H317" s="2557"/>
      <c r="I317" s="2558"/>
      <c r="J317" s="2559"/>
      <c r="K317" s="2559"/>
      <c r="L317" s="2551"/>
      <c r="M317" s="2285"/>
      <c r="N317" s="2560"/>
      <c r="O317" s="2561"/>
      <c r="P317" s="2605"/>
      <c r="Q317" s="2556"/>
      <c r="R317" s="2556"/>
      <c r="S317" s="2556"/>
      <c r="T317" s="2556"/>
      <c r="U317" s="2556"/>
      <c r="V317" s="2556"/>
      <c r="W317" s="2556"/>
      <c r="X317" s="2556"/>
      <c r="Y317" s="2556"/>
      <c r="Z317" s="2038"/>
      <c r="AA317" s="2039"/>
      <c r="AB317" s="2039"/>
      <c r="AC317" s="2040"/>
      <c r="AD317" s="2040"/>
      <c r="AE317" s="2041"/>
      <c r="AF317" s="2555"/>
      <c r="AG317" s="2551"/>
      <c r="AH317" s="2551"/>
      <c r="AI317" s="2555"/>
      <c r="AJ317" s="2551"/>
      <c r="AK317" s="2551"/>
      <c r="AL317" s="1989"/>
      <c r="AM317" s="1826"/>
      <c r="AN317" s="1826"/>
      <c r="AO317" s="1826"/>
      <c r="AP317" s="1826"/>
      <c r="AQ317" s="1826"/>
      <c r="AR317" s="1826"/>
      <c r="AS317" s="1826"/>
      <c r="AT317" s="1826"/>
      <c r="AU317" s="1826"/>
      <c r="AV317" s="1826"/>
      <c r="AW317" s="1826"/>
      <c r="AX317" s="1826"/>
      <c r="AY317" s="1826"/>
      <c r="AZ317" s="1826"/>
      <c r="BA317" s="1826"/>
      <c r="BB317" s="1826"/>
      <c r="BC317" s="1826"/>
      <c r="BD317" s="1826"/>
      <c r="BE317" s="1826"/>
      <c r="BF317" s="1826"/>
      <c r="BG317" s="1639"/>
    </row>
    <row customHeight="1" ht="0.75">
      <c r="A318" s="1170" t="s">
        <v>1232</v>
      </c>
      <c r="B318" s="1170"/>
      <c r="C318" s="1170"/>
      <c r="D318" s="1164"/>
      <c r="E318" s="1174"/>
      <c r="F318" s="2553"/>
      <c r="G318" s="2532"/>
      <c r="H318" s="2557"/>
      <c r="I318" s="2558"/>
      <c r="J318" s="2559"/>
      <c r="K318" s="2559"/>
      <c r="L318" s="2551"/>
      <c r="M318" s="2285"/>
      <c r="N318" s="2560"/>
      <c r="O318" s="2561"/>
      <c r="P318" s="2606"/>
      <c r="Q318" s="2556"/>
      <c r="R318" s="2556"/>
      <c r="S318" s="2556"/>
      <c r="T318" s="2556"/>
      <c r="U318" s="2556"/>
      <c r="V318" s="2556"/>
      <c r="W318" s="2556"/>
      <c r="X318" s="2556"/>
      <c r="Y318" s="2556"/>
      <c r="Z318" s="2042"/>
      <c r="AA318" s="2043"/>
      <c r="AB318" s="2044"/>
      <c r="AC318" s="2045"/>
      <c r="AD318" s="2044"/>
      <c r="AE318" s="2045"/>
      <c r="AF318" s="2555"/>
      <c r="AG318" s="2551"/>
      <c r="AH318" s="2551"/>
      <c r="AI318" s="2555"/>
      <c r="AJ318" s="2551"/>
      <c r="AK318" s="2551"/>
      <c r="AL318" s="1989"/>
      <c r="AM318" s="1826"/>
      <c r="AN318" s="1826"/>
      <c r="AO318" s="1826"/>
      <c r="AP318" s="1826"/>
      <c r="AQ318" s="1826"/>
      <c r="AR318" s="1826"/>
      <c r="AS318" s="1826"/>
      <c r="AT318" s="1826"/>
      <c r="AU318" s="1826"/>
      <c r="AV318" s="1826"/>
      <c r="AW318" s="1826"/>
      <c r="AX318" s="1826"/>
      <c r="AY318" s="1826"/>
      <c r="AZ318" s="1826"/>
      <c r="BA318" s="1826"/>
      <c r="BB318" s="1826"/>
      <c r="BC318" s="1826"/>
      <c r="BD318" s="1826"/>
      <c r="BE318" s="1826"/>
      <c r="BF318" s="1826"/>
      <c r="BG318" s="1639"/>
    </row>
    <row customHeight="1" ht="0.75">
      <c r="A319" s="1170" t="s">
        <v>1232</v>
      </c>
      <c r="B319" s="1170"/>
      <c r="C319" s="1170"/>
      <c r="D319" s="1164"/>
      <c r="E319" s="1174"/>
      <c r="F319" s="2553"/>
      <c r="G319" s="2532"/>
      <c r="H319" s="2557"/>
      <c r="I319" s="2558"/>
      <c r="J319" s="2559"/>
      <c r="K319" s="2559"/>
      <c r="L319" s="2551"/>
      <c r="M319" s="2285"/>
      <c r="N319" s="2560"/>
      <c r="O319" s="2561"/>
      <c r="P319" s="2607"/>
      <c r="Q319" s="2556"/>
      <c r="R319" s="2556"/>
      <c r="S319" s="2556"/>
      <c r="T319" s="2556"/>
      <c r="U319" s="2556"/>
      <c r="V319" s="2556"/>
      <c r="W319" s="2556"/>
      <c r="X319" s="2556"/>
      <c r="Y319" s="2556"/>
      <c r="Z319" s="2038"/>
      <c r="AA319" s="2039"/>
      <c r="AB319" s="2046"/>
      <c r="AC319" s="2040"/>
      <c r="AD319" s="2040"/>
      <c r="AE319" s="2047"/>
      <c r="AF319" s="2555"/>
      <c r="AG319" s="2551"/>
      <c r="AH319" s="2551"/>
      <c r="AI319" s="2555"/>
      <c r="AJ319" s="2551"/>
      <c r="AK319" s="2551"/>
      <c r="AL319" s="1989"/>
      <c r="AM319" s="1826"/>
      <c r="AN319" s="1826"/>
      <c r="AO319" s="1826"/>
      <c r="AP319" s="1826"/>
      <c r="AQ319" s="1826"/>
      <c r="AR319" s="1826"/>
      <c r="AS319" s="1826"/>
      <c r="AT319" s="1826"/>
      <c r="AU319" s="1826"/>
      <c r="AV319" s="1826"/>
      <c r="AW319" s="1826"/>
      <c r="AX319" s="1826"/>
      <c r="AY319" s="1826"/>
      <c r="AZ319" s="1826"/>
      <c r="BA319" s="1826"/>
      <c r="BB319" s="1826"/>
      <c r="BC319" s="1826"/>
      <c r="BD319" s="1826"/>
      <c r="BE319" s="1826"/>
      <c r="BF319" s="1826"/>
      <c r="BG319" s="1639"/>
    </row>
    <row customHeight="1" ht="0.75">
      <c r="A320" s="1170" t="s">
        <v>1232</v>
      </c>
      <c r="B320" s="1170"/>
      <c r="C320" s="1170"/>
      <c r="D320" s="1164"/>
      <c r="E320" s="1174"/>
      <c r="F320" s="2553"/>
      <c r="G320" s="2532"/>
      <c r="H320" s="2557"/>
      <c r="I320" s="2558"/>
      <c r="J320" s="2559"/>
      <c r="K320" s="2559"/>
      <c r="L320" s="2551"/>
      <c r="M320" s="2285"/>
      <c r="N320" s="2039"/>
      <c r="O320" s="2039"/>
      <c r="P320" s="2046"/>
      <c r="Q320" s="2039"/>
      <c r="R320" s="2039"/>
      <c r="S320" s="2039"/>
      <c r="T320" s="2039"/>
      <c r="U320" s="2039"/>
      <c r="V320" s="2039"/>
      <c r="W320" s="2039"/>
      <c r="X320" s="2039"/>
      <c r="Y320" s="2039"/>
      <c r="Z320" s="2039"/>
      <c r="AA320" s="2039"/>
      <c r="AB320" s="2039"/>
      <c r="AC320" s="2039"/>
      <c r="AD320" s="2039"/>
      <c r="AE320" s="2048"/>
      <c r="AF320" s="2555"/>
      <c r="AG320" s="2551"/>
      <c r="AH320" s="2551"/>
      <c r="AI320" s="2555"/>
      <c r="AJ320" s="2551"/>
      <c r="AK320" s="2551"/>
      <c r="AL320" s="1989"/>
      <c r="AM320" s="1826"/>
      <c r="AN320" s="1826"/>
      <c r="AO320" s="1826"/>
      <c r="AP320" s="1826"/>
      <c r="AQ320" s="1826"/>
      <c r="AR320" s="1826"/>
      <c r="AS320" s="1826"/>
      <c r="AT320" s="1826"/>
      <c r="AU320" s="1826"/>
      <c r="AV320" s="1826"/>
      <c r="AW320" s="1826"/>
      <c r="AX320" s="1826"/>
      <c r="AY320" s="1826"/>
      <c r="AZ320" s="1826"/>
      <c r="BA320" s="1826"/>
      <c r="BB320" s="1826"/>
      <c r="BC320" s="1826"/>
      <c r="BD320" s="1826"/>
      <c r="BE320" s="1826"/>
      <c r="BF320" s="1826"/>
      <c r="BG320" s="1639"/>
    </row>
    <row customHeight="1" ht="12">
      <c r="A321" s="1170" t="s">
        <v>1232</v>
      </c>
      <c r="B321" s="1170"/>
      <c r="C321" s="1170"/>
      <c r="D321" s="1164"/>
      <c r="E321" s="1174"/>
      <c r="F321" s="2554"/>
      <c r="G321" s="1194"/>
      <c r="H321" s="1194"/>
      <c r="I321" s="2552" t="s">
        <v>1300</v>
      </c>
      <c r="J321" s="2552"/>
      <c r="K321" s="2552"/>
      <c r="L321" s="1177"/>
      <c r="M321" s="1177"/>
      <c r="N321" s="1178"/>
      <c r="O321" s="1178"/>
      <c r="P321" s="1178"/>
      <c r="Q321" s="1178"/>
      <c r="R321" s="1178"/>
      <c r="S321" s="1178"/>
      <c r="T321" s="1178"/>
      <c r="U321" s="1178"/>
      <c r="V321" s="1178"/>
      <c r="W321" s="1178"/>
      <c r="X321" s="1178"/>
      <c r="Y321" s="1178"/>
      <c r="Z321" s="1178"/>
      <c r="AA321" s="1178"/>
      <c r="AB321" s="1178"/>
      <c r="AC321" s="1178"/>
      <c r="AD321" s="1178"/>
      <c r="AE321" s="1178"/>
      <c r="AF321" s="1178"/>
      <c r="AG321" s="1177"/>
      <c r="AH321" s="1177"/>
      <c r="AI321" s="1178"/>
      <c r="AJ321" s="1177"/>
      <c r="AK321" s="1178"/>
      <c r="AL321" s="1989"/>
      <c r="AM321" s="1826"/>
      <c r="AN321" s="1826"/>
      <c r="AO321" s="1826"/>
      <c r="AP321" s="1826"/>
      <c r="AQ321" s="1826"/>
      <c r="AR321" s="1826"/>
      <c r="AS321" s="1826"/>
      <c r="AT321" s="1826"/>
      <c r="AU321" s="1826"/>
      <c r="AV321" s="1826"/>
      <c r="AW321" s="1826"/>
      <c r="AX321" s="1826"/>
      <c r="AY321" s="1826"/>
      <c r="AZ321" s="1826"/>
      <c r="BA321" s="1826"/>
      <c r="BB321" s="1826"/>
      <c r="BC321" s="1826"/>
      <c r="BD321" s="1826"/>
      <c r="BE321" s="1826"/>
      <c r="BF321" s="1826"/>
      <c r="BG321" s="1639"/>
    </row>
    <row customHeight="1" ht="0.75">
      <c r="A322" s="1170" t="s">
        <v>1232</v>
      </c>
      <c r="B322" s="1170"/>
      <c r="C322" s="1170"/>
      <c r="D322" s="1164"/>
      <c r="E322" s="1174"/>
      <c r="F322" s="2553">
        <v>2028</v>
      </c>
      <c r="G322" s="2532"/>
      <c r="H322" s="2557" t="s">
        <v>514</v>
      </c>
      <c r="I322" s="2558"/>
      <c r="J322" s="2559"/>
      <c r="K322" s="2559"/>
      <c r="L322" s="2551"/>
      <c r="M322" s="2285"/>
      <c r="N322" s="2037"/>
      <c r="O322" s="2036"/>
      <c r="P322" s="2037"/>
      <c r="Q322" s="2037"/>
      <c r="R322" s="2037"/>
      <c r="S322" s="2037"/>
      <c r="T322" s="2037"/>
      <c r="U322" s="2037"/>
      <c r="V322" s="2037"/>
      <c r="W322" s="2037"/>
      <c r="X322" s="2037"/>
      <c r="Y322" s="2037"/>
      <c r="Z322" s="2037"/>
      <c r="AA322" s="2037"/>
      <c r="AB322" s="2037"/>
      <c r="AC322" s="2037"/>
      <c r="AD322" s="2037"/>
      <c r="AE322" s="2037"/>
      <c r="AF322" s="2555"/>
      <c r="AG322" s="2551"/>
      <c r="AH322" s="2551"/>
      <c r="AI322" s="2555"/>
      <c r="AJ322" s="2551"/>
      <c r="AK322" s="2551"/>
      <c r="AL322" s="1989"/>
      <c r="AM322" s="1826"/>
      <c r="AN322" s="1826"/>
      <c r="AO322" s="1826"/>
      <c r="AP322" s="1826"/>
      <c r="AQ322" s="1826"/>
      <c r="AR322" s="1826"/>
      <c r="AS322" s="1826"/>
      <c r="AT322" s="1826"/>
      <c r="AU322" s="1826"/>
      <c r="AV322" s="1826"/>
      <c r="AW322" s="1826"/>
      <c r="AX322" s="1826"/>
      <c r="AY322" s="1826"/>
      <c r="AZ322" s="1826"/>
      <c r="BA322" s="1826"/>
      <c r="BB322" s="1826"/>
      <c r="BC322" s="1826"/>
      <c r="BD322" s="1826"/>
      <c r="BE322" s="1826"/>
      <c r="BF322" s="1826"/>
      <c r="BG322" s="1639"/>
    </row>
    <row customHeight="1" ht="0.75">
      <c r="A323" s="1170" t="s">
        <v>1232</v>
      </c>
      <c r="B323" s="1170"/>
      <c r="C323" s="1170"/>
      <c r="D323" s="1164"/>
      <c r="E323" s="1174"/>
      <c r="F323" s="2553"/>
      <c r="G323" s="2532"/>
      <c r="H323" s="2557"/>
      <c r="I323" s="2558"/>
      <c r="J323" s="2559"/>
      <c r="K323" s="2559"/>
      <c r="L323" s="2551"/>
      <c r="M323" s="2285"/>
      <c r="N323" s="2560"/>
      <c r="O323" s="2561"/>
      <c r="P323" s="2605"/>
      <c r="Q323" s="2556"/>
      <c r="R323" s="2556"/>
      <c r="S323" s="2556"/>
      <c r="T323" s="2556"/>
      <c r="U323" s="2556"/>
      <c r="V323" s="2556"/>
      <c r="W323" s="2556"/>
      <c r="X323" s="2556"/>
      <c r="Y323" s="2556"/>
      <c r="Z323" s="2038"/>
      <c r="AA323" s="2039"/>
      <c r="AB323" s="2039"/>
      <c r="AC323" s="2040"/>
      <c r="AD323" s="2040"/>
      <c r="AE323" s="2041"/>
      <c r="AF323" s="2555"/>
      <c r="AG323" s="2551"/>
      <c r="AH323" s="2551"/>
      <c r="AI323" s="2555"/>
      <c r="AJ323" s="2551"/>
      <c r="AK323" s="2551"/>
      <c r="AL323" s="1989"/>
      <c r="AM323" s="1826"/>
      <c r="AN323" s="1826"/>
      <c r="AO323" s="1826"/>
      <c r="AP323" s="1826"/>
      <c r="AQ323" s="1826"/>
      <c r="AR323" s="1826"/>
      <c r="AS323" s="1826"/>
      <c r="AT323" s="1826"/>
      <c r="AU323" s="1826"/>
      <c r="AV323" s="1826"/>
      <c r="AW323" s="1826"/>
      <c r="AX323" s="1826"/>
      <c r="AY323" s="1826"/>
      <c r="AZ323" s="1826"/>
      <c r="BA323" s="1826"/>
      <c r="BB323" s="1826"/>
      <c r="BC323" s="1826"/>
      <c r="BD323" s="1826"/>
      <c r="BE323" s="1826"/>
      <c r="BF323" s="1826"/>
      <c r="BG323" s="1639"/>
    </row>
    <row customHeight="1" ht="0.75">
      <c r="A324" s="1170" t="s">
        <v>1232</v>
      </c>
      <c r="B324" s="1170"/>
      <c r="C324" s="1170"/>
      <c r="D324" s="1164"/>
      <c r="E324" s="1174"/>
      <c r="F324" s="2553"/>
      <c r="G324" s="2532"/>
      <c r="H324" s="2557"/>
      <c r="I324" s="2558"/>
      <c r="J324" s="2559"/>
      <c r="K324" s="2559"/>
      <c r="L324" s="2551"/>
      <c r="M324" s="2285"/>
      <c r="N324" s="2560"/>
      <c r="O324" s="2561"/>
      <c r="P324" s="2606"/>
      <c r="Q324" s="2556"/>
      <c r="R324" s="2556"/>
      <c r="S324" s="2556"/>
      <c r="T324" s="2556"/>
      <c r="U324" s="2556"/>
      <c r="V324" s="2556"/>
      <c r="W324" s="2556"/>
      <c r="X324" s="2556"/>
      <c r="Y324" s="2556"/>
      <c r="Z324" s="2042"/>
      <c r="AA324" s="2043"/>
      <c r="AB324" s="2044"/>
      <c r="AC324" s="2045"/>
      <c r="AD324" s="2044"/>
      <c r="AE324" s="2045"/>
      <c r="AF324" s="2555"/>
      <c r="AG324" s="2551"/>
      <c r="AH324" s="2551"/>
      <c r="AI324" s="2555"/>
      <c r="AJ324" s="2551"/>
      <c r="AK324" s="2551"/>
      <c r="AL324" s="1989"/>
      <c r="AM324" s="1826"/>
      <c r="AN324" s="1826"/>
      <c r="AO324" s="1826"/>
      <c r="AP324" s="1826"/>
      <c r="AQ324" s="1826"/>
      <c r="AR324" s="1826"/>
      <c r="AS324" s="1826"/>
      <c r="AT324" s="1826"/>
      <c r="AU324" s="1826"/>
      <c r="AV324" s="1826"/>
      <c r="AW324" s="1826"/>
      <c r="AX324" s="1826"/>
      <c r="AY324" s="1826"/>
      <c r="AZ324" s="1826"/>
      <c r="BA324" s="1826"/>
      <c r="BB324" s="1826"/>
      <c r="BC324" s="1826"/>
      <c r="BD324" s="1826"/>
      <c r="BE324" s="1826"/>
      <c r="BF324" s="1826"/>
      <c r="BG324" s="1639"/>
    </row>
    <row customHeight="1" ht="0.75">
      <c r="A325" s="1170" t="s">
        <v>1232</v>
      </c>
      <c r="B325" s="1170"/>
      <c r="C325" s="1170"/>
      <c r="D325" s="1164"/>
      <c r="E325" s="1174"/>
      <c r="F325" s="2553"/>
      <c r="G325" s="2532"/>
      <c r="H325" s="2557"/>
      <c r="I325" s="2558"/>
      <c r="J325" s="2559"/>
      <c r="K325" s="2559"/>
      <c r="L325" s="2551"/>
      <c r="M325" s="2285"/>
      <c r="N325" s="2560"/>
      <c r="O325" s="2561"/>
      <c r="P325" s="2607"/>
      <c r="Q325" s="2556"/>
      <c r="R325" s="2556"/>
      <c r="S325" s="2556"/>
      <c r="T325" s="2556"/>
      <c r="U325" s="2556"/>
      <c r="V325" s="2556"/>
      <c r="W325" s="2556"/>
      <c r="X325" s="2556"/>
      <c r="Y325" s="2556"/>
      <c r="Z325" s="2038"/>
      <c r="AA325" s="2039"/>
      <c r="AB325" s="2046"/>
      <c r="AC325" s="2040"/>
      <c r="AD325" s="2040"/>
      <c r="AE325" s="2047"/>
      <c r="AF325" s="2555"/>
      <c r="AG325" s="2551"/>
      <c r="AH325" s="2551"/>
      <c r="AI325" s="2555"/>
      <c r="AJ325" s="2551"/>
      <c r="AK325" s="2551"/>
      <c r="AL325" s="1989"/>
      <c r="AM325" s="1826"/>
      <c r="AN325" s="1826"/>
      <c r="AO325" s="1826"/>
      <c r="AP325" s="1826"/>
      <c r="AQ325" s="1826"/>
      <c r="AR325" s="1826"/>
      <c r="AS325" s="1826"/>
      <c r="AT325" s="1826"/>
      <c r="AU325" s="1826"/>
      <c r="AV325" s="1826"/>
      <c r="AW325" s="1826"/>
      <c r="AX325" s="1826"/>
      <c r="AY325" s="1826"/>
      <c r="AZ325" s="1826"/>
      <c r="BA325" s="1826"/>
      <c r="BB325" s="1826"/>
      <c r="BC325" s="1826"/>
      <c r="BD325" s="1826"/>
      <c r="BE325" s="1826"/>
      <c r="BF325" s="1826"/>
      <c r="BG325" s="1639"/>
    </row>
    <row customHeight="1" ht="0.75">
      <c r="A326" s="1170" t="s">
        <v>1232</v>
      </c>
      <c r="B326" s="1170"/>
      <c r="C326" s="1170"/>
      <c r="D326" s="1164"/>
      <c r="E326" s="1174"/>
      <c r="F326" s="2553"/>
      <c r="G326" s="2532"/>
      <c r="H326" s="2557"/>
      <c r="I326" s="2558"/>
      <c r="J326" s="2559"/>
      <c r="K326" s="2559"/>
      <c r="L326" s="2551"/>
      <c r="M326" s="2285"/>
      <c r="N326" s="2039"/>
      <c r="O326" s="2039"/>
      <c r="P326" s="2046"/>
      <c r="Q326" s="2039"/>
      <c r="R326" s="2039"/>
      <c r="S326" s="2039"/>
      <c r="T326" s="2039"/>
      <c r="U326" s="2039"/>
      <c r="V326" s="2039"/>
      <c r="W326" s="2039"/>
      <c r="X326" s="2039"/>
      <c r="Y326" s="2039"/>
      <c r="Z326" s="2039"/>
      <c r="AA326" s="2039"/>
      <c r="AB326" s="2039"/>
      <c r="AC326" s="2039"/>
      <c r="AD326" s="2039"/>
      <c r="AE326" s="2048"/>
      <c r="AF326" s="2555"/>
      <c r="AG326" s="2551"/>
      <c r="AH326" s="2551"/>
      <c r="AI326" s="2555"/>
      <c r="AJ326" s="2551"/>
      <c r="AK326" s="2551"/>
      <c r="AL326" s="1989"/>
      <c r="AM326" s="1826"/>
      <c r="AN326" s="1826"/>
      <c r="AO326" s="1826"/>
      <c r="AP326" s="1826"/>
      <c r="AQ326" s="1826"/>
      <c r="AR326" s="1826"/>
      <c r="AS326" s="1826"/>
      <c r="AT326" s="1826"/>
      <c r="AU326" s="1826"/>
      <c r="AV326" s="1826"/>
      <c r="AW326" s="1826"/>
      <c r="AX326" s="1826"/>
      <c r="AY326" s="1826"/>
      <c r="AZ326" s="1826"/>
      <c r="BA326" s="1826"/>
      <c r="BB326" s="1826"/>
      <c r="BC326" s="1826"/>
      <c r="BD326" s="1826"/>
      <c r="BE326" s="1826"/>
      <c r="BF326" s="1826"/>
      <c r="BG326" s="1639"/>
    </row>
    <row customHeight="1" ht="12">
      <c r="A327" s="1170" t="s">
        <v>1232</v>
      </c>
      <c r="B327" s="1170"/>
      <c r="C327" s="1170"/>
      <c r="D327" s="1164"/>
      <c r="E327" s="1174"/>
      <c r="F327" s="2554"/>
      <c r="G327" s="1194"/>
      <c r="H327" s="1194"/>
      <c r="I327" s="2552" t="s">
        <v>1300</v>
      </c>
      <c r="J327" s="2552"/>
      <c r="K327" s="2552"/>
      <c r="L327" s="1177"/>
      <c r="M327" s="1177"/>
      <c r="N327" s="1178"/>
      <c r="O327" s="1178"/>
      <c r="P327" s="1178"/>
      <c r="Q327" s="1178"/>
      <c r="R327" s="1178"/>
      <c r="S327" s="1178"/>
      <c r="T327" s="1178"/>
      <c r="U327" s="1178"/>
      <c r="V327" s="1178"/>
      <c r="W327" s="1178"/>
      <c r="X327" s="1178"/>
      <c r="Y327" s="1178"/>
      <c r="Z327" s="1178"/>
      <c r="AA327" s="1178"/>
      <c r="AB327" s="1178"/>
      <c r="AC327" s="1178"/>
      <c r="AD327" s="1178"/>
      <c r="AE327" s="1178"/>
      <c r="AF327" s="1178"/>
      <c r="AG327" s="1177"/>
      <c r="AH327" s="1177"/>
      <c r="AI327" s="1178"/>
      <c r="AJ327" s="1177"/>
      <c r="AK327" s="1178"/>
      <c r="AL327" s="1989"/>
      <c r="AM327" s="1826"/>
      <c r="AN327" s="1826"/>
      <c r="AO327" s="1826"/>
      <c r="AP327" s="1826"/>
      <c r="AQ327" s="1826"/>
      <c r="AR327" s="1826"/>
      <c r="AS327" s="1826"/>
      <c r="AT327" s="1826"/>
      <c r="AU327" s="1826"/>
      <c r="AV327" s="1826"/>
      <c r="AW327" s="1826"/>
      <c r="AX327" s="1826"/>
      <c r="AY327" s="1826"/>
      <c r="AZ327" s="1826"/>
      <c r="BA327" s="1826"/>
      <c r="BB327" s="1826"/>
      <c r="BC327" s="1826"/>
      <c r="BD327" s="1826"/>
      <c r="BE327" s="1826"/>
      <c r="BF327" s="1826"/>
      <c r="BG327" s="1639"/>
    </row>
    <row customHeight="1" ht="21">
      <c r="A328" s="1171" t="s">
        <v>1239</v>
      </c>
      <c r="B328" s="1170"/>
      <c r="C328" s="1170"/>
      <c r="D328" s="1164"/>
      <c r="E328" s="1174" t="s">
        <v>22</v>
      </c>
      <c r="F328" s="1126" t="str">
        <f>INDEX(IP_MAIN_LIST_NAME_IP,MATCH(A328,IP_MAIN_LIST_IP_ID,0))&amp;" ("&amp;INDEX(IP_MAIN_START_DATE,MATCH(A328,IP_MAIN_LIST_IP_ID,0))&amp;"-"&amp;INDEX(IP_MAIN_END_DATE,MATCH(A328,IP_MAIN_LIST_IP_ID,0))&amp;")"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G328" s="1127"/>
      <c r="H328" s="1127"/>
      <c r="I328" s="1189"/>
      <c r="J328" s="1189"/>
      <c r="K328" s="1190"/>
      <c r="L328" s="1190"/>
      <c r="M328" s="1190"/>
      <c r="N328" s="1191"/>
      <c r="O328" s="1191"/>
      <c r="P328" s="1191"/>
      <c r="Q328" s="1191"/>
      <c r="R328" s="1191"/>
      <c r="S328" s="1191"/>
      <c r="T328" s="1191"/>
      <c r="U328" s="1191"/>
      <c r="V328" s="1191"/>
      <c r="W328" s="1191"/>
      <c r="X328" s="1191"/>
      <c r="Y328" s="1191"/>
      <c r="Z328" s="1191"/>
      <c r="AA328" s="1191"/>
      <c r="AB328" s="1191"/>
      <c r="AC328" s="1191"/>
      <c r="AD328" s="1191"/>
      <c r="AE328" s="1192"/>
      <c r="AF328" s="1190"/>
      <c r="AG328" s="1190"/>
      <c r="AH328" s="1190"/>
      <c r="AI328" s="1190"/>
      <c r="AJ328" s="1190"/>
      <c r="AK328" s="1190"/>
      <c r="AL328" s="1989"/>
      <c r="AM328" s="1826"/>
      <c r="AN328" s="1826"/>
      <c r="AO328" s="1826"/>
      <c r="AP328" s="1826"/>
      <c r="AQ328" s="1826"/>
      <c r="AR328" s="1826"/>
      <c r="AS328" s="1826"/>
      <c r="AT328" s="1826"/>
      <c r="AU328" s="1826"/>
      <c r="AV328" s="1826"/>
      <c r="AW328" s="1826"/>
      <c r="AX328" s="1826"/>
      <c r="AY328" s="1826"/>
      <c r="AZ328" s="1826"/>
      <c r="BA328" s="1826"/>
      <c r="BB328" s="1826"/>
      <c r="BC328" s="1826"/>
      <c r="BD328" s="1826"/>
      <c r="BE328" s="1826"/>
      <c r="BF328" s="1826"/>
      <c r="BG328" s="1639"/>
    </row>
    <row customHeight="1" ht="0.75">
      <c r="A329" s="1170" t="s">
        <v>1239</v>
      </c>
      <c r="B329" s="1170"/>
      <c r="C329" s="1170"/>
      <c r="D329" s="1164"/>
      <c r="E329" s="1174"/>
      <c r="F329" s="2553">
        <v>2021</v>
      </c>
      <c r="G329" s="2532"/>
      <c r="H329" s="2557" t="s">
        <v>514</v>
      </c>
      <c r="I329" s="2558"/>
      <c r="J329" s="2559"/>
      <c r="K329" s="2559"/>
      <c r="L329" s="2551"/>
      <c r="M329" s="2285"/>
      <c r="N329" s="2037"/>
      <c r="O329" s="2036"/>
      <c r="P329" s="2037"/>
      <c r="Q329" s="2037"/>
      <c r="R329" s="2037"/>
      <c r="S329" s="2037"/>
      <c r="T329" s="2037"/>
      <c r="U329" s="2037"/>
      <c r="V329" s="2037"/>
      <c r="W329" s="2037"/>
      <c r="X329" s="2037"/>
      <c r="Y329" s="2037"/>
      <c r="Z329" s="2037"/>
      <c r="AA329" s="2037"/>
      <c r="AB329" s="2037"/>
      <c r="AC329" s="2037"/>
      <c r="AD329" s="2037"/>
      <c r="AE329" s="2037"/>
      <c r="AF329" s="2555"/>
      <c r="AG329" s="2551"/>
      <c r="AH329" s="2551"/>
      <c r="AI329" s="2555"/>
      <c r="AJ329" s="2551"/>
      <c r="AK329" s="2551"/>
      <c r="AL329" s="1989"/>
      <c r="AM329" s="1826"/>
      <c r="AN329" s="1826"/>
      <c r="AO329" s="1826"/>
      <c r="AP329" s="1826"/>
      <c r="AQ329" s="1826"/>
      <c r="AR329" s="1826"/>
      <c r="AS329" s="1826"/>
      <c r="AT329" s="1826"/>
      <c r="AU329" s="1826"/>
      <c r="AV329" s="1826"/>
      <c r="AW329" s="1826"/>
      <c r="AX329" s="1826"/>
      <c r="AY329" s="1826"/>
      <c r="AZ329" s="1826"/>
      <c r="BA329" s="1826"/>
      <c r="BB329" s="1826"/>
      <c r="BC329" s="1826"/>
      <c r="BD329" s="1826"/>
      <c r="BE329" s="1826"/>
      <c r="BF329" s="1826"/>
      <c r="BG329" s="1639"/>
    </row>
    <row customHeight="1" ht="0.75">
      <c r="A330" s="1170" t="s">
        <v>1239</v>
      </c>
      <c r="B330" s="1170"/>
      <c r="C330" s="1170"/>
      <c r="D330" s="1164"/>
      <c r="E330" s="1174"/>
      <c r="F330" s="2553"/>
      <c r="G330" s="2532"/>
      <c r="H330" s="2557"/>
      <c r="I330" s="2558"/>
      <c r="J330" s="2559"/>
      <c r="K330" s="2559"/>
      <c r="L330" s="2551"/>
      <c r="M330" s="2285"/>
      <c r="N330" s="2560"/>
      <c r="O330" s="2561"/>
      <c r="P330" s="2605"/>
      <c r="Q330" s="2556"/>
      <c r="R330" s="2556"/>
      <c r="S330" s="2556"/>
      <c r="T330" s="2556"/>
      <c r="U330" s="2556"/>
      <c r="V330" s="2556"/>
      <c r="W330" s="2556"/>
      <c r="X330" s="2556"/>
      <c r="Y330" s="2556"/>
      <c r="Z330" s="2038"/>
      <c r="AA330" s="2039"/>
      <c r="AB330" s="2039"/>
      <c r="AC330" s="2040"/>
      <c r="AD330" s="2040"/>
      <c r="AE330" s="2041"/>
      <c r="AF330" s="2555"/>
      <c r="AG330" s="2551"/>
      <c r="AH330" s="2551"/>
      <c r="AI330" s="2555"/>
      <c r="AJ330" s="2551"/>
      <c r="AK330" s="2551"/>
      <c r="AL330" s="1989"/>
      <c r="AM330" s="1826"/>
      <c r="AN330" s="1826"/>
      <c r="AO330" s="1826"/>
      <c r="AP330" s="1826"/>
      <c r="AQ330" s="1826"/>
      <c r="AR330" s="1826"/>
      <c r="AS330" s="1826"/>
      <c r="AT330" s="1826"/>
      <c r="AU330" s="1826"/>
      <c r="AV330" s="1826"/>
      <c r="AW330" s="1826"/>
      <c r="AX330" s="1826"/>
      <c r="AY330" s="1826"/>
      <c r="AZ330" s="1826"/>
      <c r="BA330" s="1826"/>
      <c r="BB330" s="1826"/>
      <c r="BC330" s="1826"/>
      <c r="BD330" s="1826"/>
      <c r="BE330" s="1826"/>
      <c r="BF330" s="1826"/>
      <c r="BG330" s="1639"/>
    </row>
    <row customHeight="1" ht="0.75">
      <c r="A331" s="1170" t="s">
        <v>1239</v>
      </c>
      <c r="B331" s="1170"/>
      <c r="C331" s="1170"/>
      <c r="D331" s="1164"/>
      <c r="E331" s="1174"/>
      <c r="F331" s="2553"/>
      <c r="G331" s="2532"/>
      <c r="H331" s="2557"/>
      <c r="I331" s="2558"/>
      <c r="J331" s="2559"/>
      <c r="K331" s="2559"/>
      <c r="L331" s="2551"/>
      <c r="M331" s="2285"/>
      <c r="N331" s="2560"/>
      <c r="O331" s="2561"/>
      <c r="P331" s="2606"/>
      <c r="Q331" s="2556"/>
      <c r="R331" s="2556"/>
      <c r="S331" s="2556"/>
      <c r="T331" s="2556"/>
      <c r="U331" s="2556"/>
      <c r="V331" s="2556"/>
      <c r="W331" s="2556"/>
      <c r="X331" s="2556"/>
      <c r="Y331" s="2556"/>
      <c r="Z331" s="2042"/>
      <c r="AA331" s="2043"/>
      <c r="AB331" s="2044"/>
      <c r="AC331" s="2045"/>
      <c r="AD331" s="2044"/>
      <c r="AE331" s="2045"/>
      <c r="AF331" s="2555"/>
      <c r="AG331" s="2551"/>
      <c r="AH331" s="2551"/>
      <c r="AI331" s="2555"/>
      <c r="AJ331" s="2551"/>
      <c r="AK331" s="2551"/>
      <c r="AL331" s="1989"/>
      <c r="AM331" s="1826"/>
      <c r="AN331" s="1826"/>
      <c r="AO331" s="1826"/>
      <c r="AP331" s="1826"/>
      <c r="AQ331" s="1826"/>
      <c r="AR331" s="1826"/>
      <c r="AS331" s="1826"/>
      <c r="AT331" s="1826"/>
      <c r="AU331" s="1826"/>
      <c r="AV331" s="1826"/>
      <c r="AW331" s="1826"/>
      <c r="AX331" s="1826"/>
      <c r="AY331" s="1826"/>
      <c r="AZ331" s="1826"/>
      <c r="BA331" s="1826"/>
      <c r="BB331" s="1826"/>
      <c r="BC331" s="1826"/>
      <c r="BD331" s="1826"/>
      <c r="BE331" s="1826"/>
      <c r="BF331" s="1826"/>
      <c r="BG331" s="1639"/>
    </row>
    <row customHeight="1" ht="0.75">
      <c r="A332" s="1170" t="s">
        <v>1239</v>
      </c>
      <c r="B332" s="1170"/>
      <c r="C332" s="1170"/>
      <c r="D332" s="1164"/>
      <c r="E332" s="1174"/>
      <c r="F332" s="2553"/>
      <c r="G332" s="2532"/>
      <c r="H332" s="2557"/>
      <c r="I332" s="2558"/>
      <c r="J332" s="2559"/>
      <c r="K332" s="2559"/>
      <c r="L332" s="2551"/>
      <c r="M332" s="2285"/>
      <c r="N332" s="2560"/>
      <c r="O332" s="2561"/>
      <c r="P332" s="2607"/>
      <c r="Q332" s="2556"/>
      <c r="R332" s="2556"/>
      <c r="S332" s="2556"/>
      <c r="T332" s="2556"/>
      <c r="U332" s="2556"/>
      <c r="V332" s="2556"/>
      <c r="W332" s="2556"/>
      <c r="X332" s="2556"/>
      <c r="Y332" s="2556"/>
      <c r="Z332" s="2038"/>
      <c r="AA332" s="2039"/>
      <c r="AB332" s="2046"/>
      <c r="AC332" s="2040"/>
      <c r="AD332" s="2040"/>
      <c r="AE332" s="2047"/>
      <c r="AF332" s="2555"/>
      <c r="AG332" s="2551"/>
      <c r="AH332" s="2551"/>
      <c r="AI332" s="2555"/>
      <c r="AJ332" s="2551"/>
      <c r="AK332" s="2551"/>
      <c r="AL332" s="1989"/>
      <c r="AM332" s="1826"/>
      <c r="AN332" s="1826"/>
      <c r="AO332" s="1826"/>
      <c r="AP332" s="1826"/>
      <c r="AQ332" s="1826"/>
      <c r="AR332" s="1826"/>
      <c r="AS332" s="1826"/>
      <c r="AT332" s="1826"/>
      <c r="AU332" s="1826"/>
      <c r="AV332" s="1826"/>
      <c r="AW332" s="1826"/>
      <c r="AX332" s="1826"/>
      <c r="AY332" s="1826"/>
      <c r="AZ332" s="1826"/>
      <c r="BA332" s="1826"/>
      <c r="BB332" s="1826"/>
      <c r="BC332" s="1826"/>
      <c r="BD332" s="1826"/>
      <c r="BE332" s="1826"/>
      <c r="BF332" s="1826"/>
      <c r="BG332" s="1639"/>
    </row>
    <row customHeight="1" ht="0.75">
      <c r="A333" s="1170" t="s">
        <v>1239</v>
      </c>
      <c r="B333" s="1170"/>
      <c r="C333" s="1170"/>
      <c r="D333" s="1164"/>
      <c r="E333" s="1174"/>
      <c r="F333" s="2553"/>
      <c r="G333" s="2532"/>
      <c r="H333" s="2557"/>
      <c r="I333" s="2558"/>
      <c r="J333" s="2559"/>
      <c r="K333" s="2559"/>
      <c r="L333" s="2551"/>
      <c r="M333" s="2285"/>
      <c r="N333" s="2039"/>
      <c r="O333" s="2039"/>
      <c r="P333" s="2046"/>
      <c r="Q333" s="2039"/>
      <c r="R333" s="2039"/>
      <c r="S333" s="2039"/>
      <c r="T333" s="2039"/>
      <c r="U333" s="2039"/>
      <c r="V333" s="2039"/>
      <c r="W333" s="2039"/>
      <c r="X333" s="2039"/>
      <c r="Y333" s="2039"/>
      <c r="Z333" s="2039"/>
      <c r="AA333" s="2039"/>
      <c r="AB333" s="2039"/>
      <c r="AC333" s="2039"/>
      <c r="AD333" s="2039"/>
      <c r="AE333" s="2048"/>
      <c r="AF333" s="2555"/>
      <c r="AG333" s="2551"/>
      <c r="AH333" s="2551"/>
      <c r="AI333" s="2555"/>
      <c r="AJ333" s="2551"/>
      <c r="AK333" s="2551"/>
      <c r="AL333" s="1989"/>
      <c r="AM333" s="1826"/>
      <c r="AN333" s="1826"/>
      <c r="AO333" s="1826"/>
      <c r="AP333" s="1826"/>
      <c r="AQ333" s="1826"/>
      <c r="AR333" s="1826"/>
      <c r="AS333" s="1826"/>
      <c r="AT333" s="1826"/>
      <c r="AU333" s="1826"/>
      <c r="AV333" s="1826"/>
      <c r="AW333" s="1826"/>
      <c r="AX333" s="1826"/>
      <c r="AY333" s="1826"/>
      <c r="AZ333" s="1826"/>
      <c r="BA333" s="1826"/>
      <c r="BB333" s="1826"/>
      <c r="BC333" s="1826"/>
      <c r="BD333" s="1826"/>
      <c r="BE333" s="1826"/>
      <c r="BF333" s="1826"/>
      <c r="BG333" s="1639"/>
    </row>
    <row customHeight="1" ht="12">
      <c r="A334" s="1170" t="s">
        <v>1239</v>
      </c>
      <c r="B334" s="1170"/>
      <c r="C334" s="1170"/>
      <c r="D334" s="1164"/>
      <c r="E334" s="1174"/>
      <c r="F334" s="2554"/>
      <c r="G334" s="1194"/>
      <c r="H334" s="1194"/>
      <c r="I334" s="2552" t="s">
        <v>1300</v>
      </c>
      <c r="J334" s="2552"/>
      <c r="K334" s="2552"/>
      <c r="L334" s="1177"/>
      <c r="M334" s="1177"/>
      <c r="N334" s="1178"/>
      <c r="O334" s="1178"/>
      <c r="P334" s="1178"/>
      <c r="Q334" s="1178"/>
      <c r="R334" s="1178"/>
      <c r="S334" s="1178"/>
      <c r="T334" s="1178"/>
      <c r="U334" s="1178"/>
      <c r="V334" s="1178"/>
      <c r="W334" s="1178"/>
      <c r="X334" s="1178"/>
      <c r="Y334" s="1178"/>
      <c r="Z334" s="1178"/>
      <c r="AA334" s="1178"/>
      <c r="AB334" s="1178"/>
      <c r="AC334" s="1178"/>
      <c r="AD334" s="1178"/>
      <c r="AE334" s="1178"/>
      <c r="AF334" s="1178"/>
      <c r="AG334" s="1177"/>
      <c r="AH334" s="1177"/>
      <c r="AI334" s="1178"/>
      <c r="AJ334" s="1177"/>
      <c r="AK334" s="1178"/>
      <c r="AL334" s="1989"/>
      <c r="AM334" s="1826"/>
      <c r="AN334" s="1826"/>
      <c r="AO334" s="1826"/>
      <c r="AP334" s="1826"/>
      <c r="AQ334" s="1826"/>
      <c r="AR334" s="1826"/>
      <c r="AS334" s="1826"/>
      <c r="AT334" s="1826"/>
      <c r="AU334" s="1826"/>
      <c r="AV334" s="1826"/>
      <c r="AW334" s="1826"/>
      <c r="AX334" s="1826"/>
      <c r="AY334" s="1826"/>
      <c r="AZ334" s="1826"/>
      <c r="BA334" s="1826"/>
      <c r="BB334" s="1826"/>
      <c r="BC334" s="1826"/>
      <c r="BD334" s="1826"/>
      <c r="BE334" s="1826"/>
      <c r="BF334" s="1826"/>
      <c r="BG334" s="1639"/>
    </row>
    <row customHeight="1" ht="0.75">
      <c r="A335" s="1170" t="s">
        <v>1239</v>
      </c>
      <c r="B335" s="1170"/>
      <c r="C335" s="1170"/>
      <c r="D335" s="1164"/>
      <c r="E335" s="1174"/>
      <c r="F335" s="2553">
        <v>2022</v>
      </c>
      <c r="G335" s="2532"/>
      <c r="H335" s="2557" t="s">
        <v>514</v>
      </c>
      <c r="I335" s="2558"/>
      <c r="J335" s="2559"/>
      <c r="K335" s="2559"/>
      <c r="L335" s="2551"/>
      <c r="M335" s="2285"/>
      <c r="N335" s="2037"/>
      <c r="O335" s="2036"/>
      <c r="P335" s="2037"/>
      <c r="Q335" s="2037"/>
      <c r="R335" s="2037"/>
      <c r="S335" s="2037"/>
      <c r="T335" s="2037"/>
      <c r="U335" s="2037"/>
      <c r="V335" s="2037"/>
      <c r="W335" s="2037"/>
      <c r="X335" s="2037"/>
      <c r="Y335" s="2037"/>
      <c r="Z335" s="2037"/>
      <c r="AA335" s="2037"/>
      <c r="AB335" s="2037"/>
      <c r="AC335" s="2037"/>
      <c r="AD335" s="2037"/>
      <c r="AE335" s="2037"/>
      <c r="AF335" s="2555"/>
      <c r="AG335" s="2551"/>
      <c r="AH335" s="2551"/>
      <c r="AI335" s="2555"/>
      <c r="AJ335" s="2551"/>
      <c r="AK335" s="2551"/>
      <c r="AL335" s="1989"/>
      <c r="AM335" s="1826"/>
      <c r="AN335" s="1826"/>
      <c r="AO335" s="1826"/>
      <c r="AP335" s="1826"/>
      <c r="AQ335" s="1826"/>
      <c r="AR335" s="1826"/>
      <c r="AS335" s="1826"/>
      <c r="AT335" s="1826"/>
      <c r="AU335" s="1826"/>
      <c r="AV335" s="1826"/>
      <c r="AW335" s="1826"/>
      <c r="AX335" s="1826"/>
      <c r="AY335" s="1826"/>
      <c r="AZ335" s="1826"/>
      <c r="BA335" s="1826"/>
      <c r="BB335" s="1826"/>
      <c r="BC335" s="1826"/>
      <c r="BD335" s="1826"/>
      <c r="BE335" s="1826"/>
      <c r="BF335" s="1826"/>
      <c r="BG335" s="1639"/>
    </row>
    <row customHeight="1" ht="0.75">
      <c r="A336" s="1170" t="s">
        <v>1239</v>
      </c>
      <c r="B336" s="1170"/>
      <c r="C336" s="1170"/>
      <c r="D336" s="1164"/>
      <c r="E336" s="1174"/>
      <c r="F336" s="2553"/>
      <c r="G336" s="2532"/>
      <c r="H336" s="2557"/>
      <c r="I336" s="2558"/>
      <c r="J336" s="2559"/>
      <c r="K336" s="2559"/>
      <c r="L336" s="2551"/>
      <c r="M336" s="2285"/>
      <c r="N336" s="2560"/>
      <c r="O336" s="2561"/>
      <c r="P336" s="2605"/>
      <c r="Q336" s="2556"/>
      <c r="R336" s="2556"/>
      <c r="S336" s="2556"/>
      <c r="T336" s="2556"/>
      <c r="U336" s="2556"/>
      <c r="V336" s="2556"/>
      <c r="W336" s="2556"/>
      <c r="X336" s="2556"/>
      <c r="Y336" s="2556"/>
      <c r="Z336" s="2038"/>
      <c r="AA336" s="2039"/>
      <c r="AB336" s="2039"/>
      <c r="AC336" s="2040"/>
      <c r="AD336" s="2040"/>
      <c r="AE336" s="2041"/>
      <c r="AF336" s="2555"/>
      <c r="AG336" s="2551"/>
      <c r="AH336" s="2551"/>
      <c r="AI336" s="2555"/>
      <c r="AJ336" s="2551"/>
      <c r="AK336" s="2551"/>
      <c r="AL336" s="1989"/>
      <c r="AM336" s="1826"/>
      <c r="AN336" s="1826"/>
      <c r="AO336" s="1826"/>
      <c r="AP336" s="1826"/>
      <c r="AQ336" s="1826"/>
      <c r="AR336" s="1826"/>
      <c r="AS336" s="1826"/>
      <c r="AT336" s="1826"/>
      <c r="AU336" s="1826"/>
      <c r="AV336" s="1826"/>
      <c r="AW336" s="1826"/>
      <c r="AX336" s="1826"/>
      <c r="AY336" s="1826"/>
      <c r="AZ336" s="1826"/>
      <c r="BA336" s="1826"/>
      <c r="BB336" s="1826"/>
      <c r="BC336" s="1826"/>
      <c r="BD336" s="1826"/>
      <c r="BE336" s="1826"/>
      <c r="BF336" s="1826"/>
      <c r="BG336" s="1639"/>
    </row>
    <row customHeight="1" ht="0.75">
      <c r="A337" s="1170" t="s">
        <v>1239</v>
      </c>
      <c r="B337" s="1170"/>
      <c r="C337" s="1170"/>
      <c r="D337" s="1164"/>
      <c r="E337" s="1174"/>
      <c r="F337" s="2553"/>
      <c r="G337" s="2532"/>
      <c r="H337" s="2557"/>
      <c r="I337" s="2558"/>
      <c r="J337" s="2559"/>
      <c r="K337" s="2559"/>
      <c r="L337" s="2551"/>
      <c r="M337" s="2285"/>
      <c r="N337" s="2560"/>
      <c r="O337" s="2561"/>
      <c r="P337" s="2606"/>
      <c r="Q337" s="2556"/>
      <c r="R337" s="2556"/>
      <c r="S337" s="2556"/>
      <c r="T337" s="2556"/>
      <c r="U337" s="2556"/>
      <c r="V337" s="2556"/>
      <c r="W337" s="2556"/>
      <c r="X337" s="2556"/>
      <c r="Y337" s="2556"/>
      <c r="Z337" s="2042"/>
      <c r="AA337" s="2043"/>
      <c r="AB337" s="2044"/>
      <c r="AC337" s="2045"/>
      <c r="AD337" s="2044"/>
      <c r="AE337" s="2045"/>
      <c r="AF337" s="2555"/>
      <c r="AG337" s="2551"/>
      <c r="AH337" s="2551"/>
      <c r="AI337" s="2555"/>
      <c r="AJ337" s="2551"/>
      <c r="AK337" s="2551"/>
      <c r="AL337" s="1989"/>
      <c r="AM337" s="1826"/>
      <c r="AN337" s="1826"/>
      <c r="AO337" s="1826"/>
      <c r="AP337" s="1826"/>
      <c r="AQ337" s="1826"/>
      <c r="AR337" s="1826"/>
      <c r="AS337" s="1826"/>
      <c r="AT337" s="1826"/>
      <c r="AU337" s="1826"/>
      <c r="AV337" s="1826"/>
      <c r="AW337" s="1826"/>
      <c r="AX337" s="1826"/>
      <c r="AY337" s="1826"/>
      <c r="AZ337" s="1826"/>
      <c r="BA337" s="1826"/>
      <c r="BB337" s="1826"/>
      <c r="BC337" s="1826"/>
      <c r="BD337" s="1826"/>
      <c r="BE337" s="1826"/>
      <c r="BF337" s="1826"/>
      <c r="BG337" s="1639"/>
    </row>
    <row customHeight="1" ht="0.75">
      <c r="A338" s="1170" t="s">
        <v>1239</v>
      </c>
      <c r="B338" s="1170"/>
      <c r="C338" s="1170"/>
      <c r="D338" s="1164"/>
      <c r="E338" s="1174"/>
      <c r="F338" s="2553"/>
      <c r="G338" s="2532"/>
      <c r="H338" s="2557"/>
      <c r="I338" s="2558"/>
      <c r="J338" s="2559"/>
      <c r="K338" s="2559"/>
      <c r="L338" s="2551"/>
      <c r="M338" s="2285"/>
      <c r="N338" s="2560"/>
      <c r="O338" s="2561"/>
      <c r="P338" s="2607"/>
      <c r="Q338" s="2556"/>
      <c r="R338" s="2556"/>
      <c r="S338" s="2556"/>
      <c r="T338" s="2556"/>
      <c r="U338" s="2556"/>
      <c r="V338" s="2556"/>
      <c r="W338" s="2556"/>
      <c r="X338" s="2556"/>
      <c r="Y338" s="2556"/>
      <c r="Z338" s="2038"/>
      <c r="AA338" s="2039"/>
      <c r="AB338" s="2046"/>
      <c r="AC338" s="2040"/>
      <c r="AD338" s="2040"/>
      <c r="AE338" s="2047"/>
      <c r="AF338" s="2555"/>
      <c r="AG338" s="2551"/>
      <c r="AH338" s="2551"/>
      <c r="AI338" s="2555"/>
      <c r="AJ338" s="2551"/>
      <c r="AK338" s="2551"/>
      <c r="AL338" s="1989"/>
      <c r="AM338" s="1826"/>
      <c r="AN338" s="1826"/>
      <c r="AO338" s="1826"/>
      <c r="AP338" s="1826"/>
      <c r="AQ338" s="1826"/>
      <c r="AR338" s="1826"/>
      <c r="AS338" s="1826"/>
      <c r="AT338" s="1826"/>
      <c r="AU338" s="1826"/>
      <c r="AV338" s="1826"/>
      <c r="AW338" s="1826"/>
      <c r="AX338" s="1826"/>
      <c r="AY338" s="1826"/>
      <c r="AZ338" s="1826"/>
      <c r="BA338" s="1826"/>
      <c r="BB338" s="1826"/>
      <c r="BC338" s="1826"/>
      <c r="BD338" s="1826"/>
      <c r="BE338" s="1826"/>
      <c r="BF338" s="1826"/>
      <c r="BG338" s="1639"/>
    </row>
    <row customHeight="1" ht="0.75">
      <c r="A339" s="1170" t="s">
        <v>1239</v>
      </c>
      <c r="B339" s="1170"/>
      <c r="C339" s="1170"/>
      <c r="D339" s="1164"/>
      <c r="E339" s="1174"/>
      <c r="F339" s="2553"/>
      <c r="G339" s="2532"/>
      <c r="H339" s="2557"/>
      <c r="I339" s="2558"/>
      <c r="J339" s="2559"/>
      <c r="K339" s="2559"/>
      <c r="L339" s="2551"/>
      <c r="M339" s="2285"/>
      <c r="N339" s="2039"/>
      <c r="O339" s="2039"/>
      <c r="P339" s="2046"/>
      <c r="Q339" s="2039"/>
      <c r="R339" s="2039"/>
      <c r="S339" s="2039"/>
      <c r="T339" s="2039"/>
      <c r="U339" s="2039"/>
      <c r="V339" s="2039"/>
      <c r="W339" s="2039"/>
      <c r="X339" s="2039"/>
      <c r="Y339" s="2039"/>
      <c r="Z339" s="2039"/>
      <c r="AA339" s="2039"/>
      <c r="AB339" s="2039"/>
      <c r="AC339" s="2039"/>
      <c r="AD339" s="2039"/>
      <c r="AE339" s="2048"/>
      <c r="AF339" s="2555"/>
      <c r="AG339" s="2551"/>
      <c r="AH339" s="2551"/>
      <c r="AI339" s="2555"/>
      <c r="AJ339" s="2551"/>
      <c r="AK339" s="2551"/>
      <c r="AL339" s="1989"/>
      <c r="AM339" s="1826"/>
      <c r="AN339" s="1826"/>
      <c r="AO339" s="1826"/>
      <c r="AP339" s="1826"/>
      <c r="AQ339" s="1826"/>
      <c r="AR339" s="1826"/>
      <c r="AS339" s="1826"/>
      <c r="AT339" s="1826"/>
      <c r="AU339" s="1826"/>
      <c r="AV339" s="1826"/>
      <c r="AW339" s="1826"/>
      <c r="AX339" s="1826"/>
      <c r="AY339" s="1826"/>
      <c r="AZ339" s="1826"/>
      <c r="BA339" s="1826"/>
      <c r="BB339" s="1826"/>
      <c r="BC339" s="1826"/>
      <c r="BD339" s="1826"/>
      <c r="BE339" s="1826"/>
      <c r="BF339" s="1826"/>
      <c r="BG339" s="1639"/>
    </row>
    <row customHeight="1" ht="12">
      <c r="A340" s="1170" t="s">
        <v>1239</v>
      </c>
      <c r="B340" s="1170"/>
      <c r="C340" s="1170"/>
      <c r="D340" s="1164"/>
      <c r="E340" s="1174"/>
      <c r="F340" s="2554"/>
      <c r="G340" s="1194"/>
      <c r="H340" s="1194"/>
      <c r="I340" s="2552" t="s">
        <v>1300</v>
      </c>
      <c r="J340" s="2552"/>
      <c r="K340" s="2552"/>
      <c r="L340" s="1177"/>
      <c r="M340" s="1177"/>
      <c r="N340" s="1178"/>
      <c r="O340" s="1178"/>
      <c r="P340" s="1178"/>
      <c r="Q340" s="1178"/>
      <c r="R340" s="1178"/>
      <c r="S340" s="1178"/>
      <c r="T340" s="1178"/>
      <c r="U340" s="1178"/>
      <c r="V340" s="1178"/>
      <c r="W340" s="1178"/>
      <c r="X340" s="1178"/>
      <c r="Y340" s="1178"/>
      <c r="Z340" s="1178"/>
      <c r="AA340" s="1178"/>
      <c r="AB340" s="1178"/>
      <c r="AC340" s="1178"/>
      <c r="AD340" s="1178"/>
      <c r="AE340" s="1178"/>
      <c r="AF340" s="1178"/>
      <c r="AG340" s="1177"/>
      <c r="AH340" s="1177"/>
      <c r="AI340" s="1178"/>
      <c r="AJ340" s="1177"/>
      <c r="AK340" s="1178"/>
      <c r="AL340" s="1989"/>
      <c r="AM340" s="1826"/>
      <c r="AN340" s="1826"/>
      <c r="AO340" s="1826"/>
      <c r="AP340" s="1826"/>
      <c r="AQ340" s="1826"/>
      <c r="AR340" s="1826"/>
      <c r="AS340" s="1826"/>
      <c r="AT340" s="1826"/>
      <c r="AU340" s="1826"/>
      <c r="AV340" s="1826"/>
      <c r="AW340" s="1826"/>
      <c r="AX340" s="1826"/>
      <c r="AY340" s="1826"/>
      <c r="AZ340" s="1826"/>
      <c r="BA340" s="1826"/>
      <c r="BB340" s="1826"/>
      <c r="BC340" s="1826"/>
      <c r="BD340" s="1826"/>
      <c r="BE340" s="1826"/>
      <c r="BF340" s="1826"/>
      <c r="BG340" s="1639"/>
    </row>
    <row customHeight="1" ht="0.75">
      <c r="A341" s="1170" t="s">
        <v>1239</v>
      </c>
      <c r="B341" s="1170"/>
      <c r="C341" s="1170"/>
      <c r="D341" s="1164"/>
      <c r="E341" s="1174"/>
      <c r="F341" s="2553">
        <v>2023</v>
      </c>
      <c r="G341" s="2532"/>
      <c r="H341" s="2557" t="s">
        <v>514</v>
      </c>
      <c r="I341" s="2558"/>
      <c r="J341" s="2559"/>
      <c r="K341" s="2559"/>
      <c r="L341" s="2551"/>
      <c r="M341" s="2285"/>
      <c r="N341" s="2037"/>
      <c r="O341" s="2036"/>
      <c r="P341" s="2037"/>
      <c r="Q341" s="2037"/>
      <c r="R341" s="2037"/>
      <c r="S341" s="2037"/>
      <c r="T341" s="2037"/>
      <c r="U341" s="2037"/>
      <c r="V341" s="2037"/>
      <c r="W341" s="2037"/>
      <c r="X341" s="2037"/>
      <c r="Y341" s="2037"/>
      <c r="Z341" s="2037"/>
      <c r="AA341" s="2037"/>
      <c r="AB341" s="2037"/>
      <c r="AC341" s="2037"/>
      <c r="AD341" s="2037"/>
      <c r="AE341" s="2037"/>
      <c r="AF341" s="2555"/>
      <c r="AG341" s="2551"/>
      <c r="AH341" s="2551"/>
      <c r="AI341" s="2555"/>
      <c r="AJ341" s="2551"/>
      <c r="AK341" s="2551"/>
      <c r="AL341" s="1989"/>
      <c r="AM341" s="1826"/>
      <c r="AN341" s="1826"/>
      <c r="AO341" s="1826"/>
      <c r="AP341" s="1826"/>
      <c r="AQ341" s="1826"/>
      <c r="AR341" s="1826"/>
      <c r="AS341" s="1826"/>
      <c r="AT341" s="1826"/>
      <c r="AU341" s="1826"/>
      <c r="AV341" s="1826"/>
      <c r="AW341" s="1826"/>
      <c r="AX341" s="1826"/>
      <c r="AY341" s="1826"/>
      <c r="AZ341" s="1826"/>
      <c r="BA341" s="1826"/>
      <c r="BB341" s="1826"/>
      <c r="BC341" s="1826"/>
      <c r="BD341" s="1826"/>
      <c r="BE341" s="1826"/>
      <c r="BF341" s="1826"/>
      <c r="BG341" s="1639"/>
    </row>
    <row customHeight="1" ht="0.75">
      <c r="A342" s="1170" t="s">
        <v>1239</v>
      </c>
      <c r="B342" s="1170"/>
      <c r="C342" s="1170"/>
      <c r="D342" s="1164"/>
      <c r="E342" s="1174"/>
      <c r="F342" s="2553"/>
      <c r="G342" s="2532"/>
      <c r="H342" s="2557"/>
      <c r="I342" s="2558"/>
      <c r="J342" s="2559"/>
      <c r="K342" s="2559"/>
      <c r="L342" s="2551"/>
      <c r="M342" s="2285"/>
      <c r="N342" s="2560"/>
      <c r="O342" s="2561"/>
      <c r="P342" s="2605"/>
      <c r="Q342" s="2556"/>
      <c r="R342" s="2556"/>
      <c r="S342" s="2556"/>
      <c r="T342" s="2556"/>
      <c r="U342" s="2556"/>
      <c r="V342" s="2556"/>
      <c r="W342" s="2556"/>
      <c r="X342" s="2556"/>
      <c r="Y342" s="2556"/>
      <c r="Z342" s="2038"/>
      <c r="AA342" s="2039"/>
      <c r="AB342" s="2039"/>
      <c r="AC342" s="2040"/>
      <c r="AD342" s="2040"/>
      <c r="AE342" s="2041"/>
      <c r="AF342" s="2555"/>
      <c r="AG342" s="2551"/>
      <c r="AH342" s="2551"/>
      <c r="AI342" s="2555"/>
      <c r="AJ342" s="2551"/>
      <c r="AK342" s="2551"/>
      <c r="AL342" s="1989"/>
      <c r="AM342" s="1826"/>
      <c r="AN342" s="1826"/>
      <c r="AO342" s="1826"/>
      <c r="AP342" s="1826"/>
      <c r="AQ342" s="1826"/>
      <c r="AR342" s="1826"/>
      <c r="AS342" s="1826"/>
      <c r="AT342" s="1826"/>
      <c r="AU342" s="1826"/>
      <c r="AV342" s="1826"/>
      <c r="AW342" s="1826"/>
      <c r="AX342" s="1826"/>
      <c r="AY342" s="1826"/>
      <c r="AZ342" s="1826"/>
      <c r="BA342" s="1826"/>
      <c r="BB342" s="1826"/>
      <c r="BC342" s="1826"/>
      <c r="BD342" s="1826"/>
      <c r="BE342" s="1826"/>
      <c r="BF342" s="1826"/>
      <c r="BG342" s="1639"/>
    </row>
    <row customHeight="1" ht="0.75">
      <c r="A343" s="1170" t="s">
        <v>1239</v>
      </c>
      <c r="B343" s="1170"/>
      <c r="C343" s="1170"/>
      <c r="D343" s="1164"/>
      <c r="E343" s="1174"/>
      <c r="F343" s="2553"/>
      <c r="G343" s="2532"/>
      <c r="H343" s="2557"/>
      <c r="I343" s="2558"/>
      <c r="J343" s="2559"/>
      <c r="K343" s="2559"/>
      <c r="L343" s="2551"/>
      <c r="M343" s="2285"/>
      <c r="N343" s="2560"/>
      <c r="O343" s="2561"/>
      <c r="P343" s="2606"/>
      <c r="Q343" s="2556"/>
      <c r="R343" s="2556"/>
      <c r="S343" s="2556"/>
      <c r="T343" s="2556"/>
      <c r="U343" s="2556"/>
      <c r="V343" s="2556"/>
      <c r="W343" s="2556"/>
      <c r="X343" s="2556"/>
      <c r="Y343" s="2556"/>
      <c r="Z343" s="2042"/>
      <c r="AA343" s="2043"/>
      <c r="AB343" s="2044"/>
      <c r="AC343" s="2045"/>
      <c r="AD343" s="2044"/>
      <c r="AE343" s="2045"/>
      <c r="AF343" s="2555"/>
      <c r="AG343" s="2551"/>
      <c r="AH343" s="2551"/>
      <c r="AI343" s="2555"/>
      <c r="AJ343" s="2551"/>
      <c r="AK343" s="2551"/>
      <c r="AL343" s="1989"/>
      <c r="AM343" s="1826"/>
      <c r="AN343" s="1826"/>
      <c r="AO343" s="1826"/>
      <c r="AP343" s="1826"/>
      <c r="AQ343" s="1826"/>
      <c r="AR343" s="1826"/>
      <c r="AS343" s="1826"/>
      <c r="AT343" s="1826"/>
      <c r="AU343" s="1826"/>
      <c r="AV343" s="1826"/>
      <c r="AW343" s="1826"/>
      <c r="AX343" s="1826"/>
      <c r="AY343" s="1826"/>
      <c r="AZ343" s="1826"/>
      <c r="BA343" s="1826"/>
      <c r="BB343" s="1826"/>
      <c r="BC343" s="1826"/>
      <c r="BD343" s="1826"/>
      <c r="BE343" s="1826"/>
      <c r="BF343" s="1826"/>
      <c r="BG343" s="1639"/>
    </row>
    <row customHeight="1" ht="0.75">
      <c r="A344" s="1170" t="s">
        <v>1239</v>
      </c>
      <c r="B344" s="1170"/>
      <c r="C344" s="1170"/>
      <c r="D344" s="1164"/>
      <c r="E344" s="1174"/>
      <c r="F344" s="2553"/>
      <c r="G344" s="2532"/>
      <c r="H344" s="2557"/>
      <c r="I344" s="2558"/>
      <c r="J344" s="2559"/>
      <c r="K344" s="2559"/>
      <c r="L344" s="2551"/>
      <c r="M344" s="2285"/>
      <c r="N344" s="2560"/>
      <c r="O344" s="2561"/>
      <c r="P344" s="2607"/>
      <c r="Q344" s="2556"/>
      <c r="R344" s="2556"/>
      <c r="S344" s="2556"/>
      <c r="T344" s="2556"/>
      <c r="U344" s="2556"/>
      <c r="V344" s="2556"/>
      <c r="W344" s="2556"/>
      <c r="X344" s="2556"/>
      <c r="Y344" s="2556"/>
      <c r="Z344" s="2038"/>
      <c r="AA344" s="2039"/>
      <c r="AB344" s="2046"/>
      <c r="AC344" s="2040"/>
      <c r="AD344" s="2040"/>
      <c r="AE344" s="2047"/>
      <c r="AF344" s="2555"/>
      <c r="AG344" s="2551"/>
      <c r="AH344" s="2551"/>
      <c r="AI344" s="2555"/>
      <c r="AJ344" s="2551"/>
      <c r="AK344" s="2551"/>
      <c r="AL344" s="1989"/>
      <c r="AM344" s="1826"/>
      <c r="AN344" s="1826"/>
      <c r="AO344" s="1826"/>
      <c r="AP344" s="1826"/>
      <c r="AQ344" s="1826"/>
      <c r="AR344" s="1826"/>
      <c r="AS344" s="1826"/>
      <c r="AT344" s="1826"/>
      <c r="AU344" s="1826"/>
      <c r="AV344" s="1826"/>
      <c r="AW344" s="1826"/>
      <c r="AX344" s="1826"/>
      <c r="AY344" s="1826"/>
      <c r="AZ344" s="1826"/>
      <c r="BA344" s="1826"/>
      <c r="BB344" s="1826"/>
      <c r="BC344" s="1826"/>
      <c r="BD344" s="1826"/>
      <c r="BE344" s="1826"/>
      <c r="BF344" s="1826"/>
      <c r="BG344" s="1639"/>
    </row>
    <row customHeight="1" ht="0.75">
      <c r="A345" s="1170" t="s">
        <v>1239</v>
      </c>
      <c r="B345" s="1170"/>
      <c r="C345" s="1170"/>
      <c r="D345" s="1164"/>
      <c r="E345" s="1174"/>
      <c r="F345" s="2553"/>
      <c r="G345" s="2532"/>
      <c r="H345" s="2557"/>
      <c r="I345" s="2558"/>
      <c r="J345" s="2559"/>
      <c r="K345" s="2559"/>
      <c r="L345" s="2551"/>
      <c r="M345" s="2285"/>
      <c r="N345" s="2039"/>
      <c r="O345" s="2039"/>
      <c r="P345" s="2046"/>
      <c r="Q345" s="2039"/>
      <c r="R345" s="2039"/>
      <c r="S345" s="2039"/>
      <c r="T345" s="2039"/>
      <c r="U345" s="2039"/>
      <c r="V345" s="2039"/>
      <c r="W345" s="2039"/>
      <c r="X345" s="2039"/>
      <c r="Y345" s="2039"/>
      <c r="Z345" s="2039"/>
      <c r="AA345" s="2039"/>
      <c r="AB345" s="2039"/>
      <c r="AC345" s="2039"/>
      <c r="AD345" s="2039"/>
      <c r="AE345" s="2048"/>
      <c r="AF345" s="2555"/>
      <c r="AG345" s="2551"/>
      <c r="AH345" s="2551"/>
      <c r="AI345" s="2555"/>
      <c r="AJ345" s="2551"/>
      <c r="AK345" s="2551"/>
      <c r="AL345" s="1989"/>
      <c r="AM345" s="1826"/>
      <c r="AN345" s="1826"/>
      <c r="AO345" s="1826"/>
      <c r="AP345" s="1826"/>
      <c r="AQ345" s="1826"/>
      <c r="AR345" s="1826"/>
      <c r="AS345" s="1826"/>
      <c r="AT345" s="1826"/>
      <c r="AU345" s="1826"/>
      <c r="AV345" s="1826"/>
      <c r="AW345" s="1826"/>
      <c r="AX345" s="1826"/>
      <c r="AY345" s="1826"/>
      <c r="AZ345" s="1826"/>
      <c r="BA345" s="1826"/>
      <c r="BB345" s="1826"/>
      <c r="BC345" s="1826"/>
      <c r="BD345" s="1826"/>
      <c r="BE345" s="1826"/>
      <c r="BF345" s="1826"/>
      <c r="BG345" s="1639"/>
    </row>
    <row customHeight="1" ht="12">
      <c r="A346" s="1170" t="s">
        <v>1239</v>
      </c>
      <c r="B346" s="1170"/>
      <c r="C346" s="1170"/>
      <c r="D346" s="1164"/>
      <c r="E346" s="1174"/>
      <c r="F346" s="2554"/>
      <c r="G346" s="1194"/>
      <c r="H346" s="1194"/>
      <c r="I346" s="2552" t="s">
        <v>1300</v>
      </c>
      <c r="J346" s="2552"/>
      <c r="K346" s="2552"/>
      <c r="L346" s="1177"/>
      <c r="M346" s="1177"/>
      <c r="N346" s="1178"/>
      <c r="O346" s="1178"/>
      <c r="P346" s="1178"/>
      <c r="Q346" s="1178"/>
      <c r="R346" s="1178"/>
      <c r="S346" s="1178"/>
      <c r="T346" s="1178"/>
      <c r="U346" s="1178"/>
      <c r="V346" s="1178"/>
      <c r="W346" s="1178"/>
      <c r="X346" s="1178"/>
      <c r="Y346" s="1178"/>
      <c r="Z346" s="1178"/>
      <c r="AA346" s="1178"/>
      <c r="AB346" s="1178"/>
      <c r="AC346" s="1178"/>
      <c r="AD346" s="1178"/>
      <c r="AE346" s="1178"/>
      <c r="AF346" s="1178"/>
      <c r="AG346" s="1177"/>
      <c r="AH346" s="1177"/>
      <c r="AI346" s="1178"/>
      <c r="AJ346" s="1177"/>
      <c r="AK346" s="1178"/>
      <c r="AL346" s="1989"/>
      <c r="AM346" s="1826"/>
      <c r="AN346" s="1826"/>
      <c r="AO346" s="1826"/>
      <c r="AP346" s="1826"/>
      <c r="AQ346" s="1826"/>
      <c r="AR346" s="1826"/>
      <c r="AS346" s="1826"/>
      <c r="AT346" s="1826"/>
      <c r="AU346" s="1826"/>
      <c r="AV346" s="1826"/>
      <c r="AW346" s="1826"/>
      <c r="AX346" s="1826"/>
      <c r="AY346" s="1826"/>
      <c r="AZ346" s="1826"/>
      <c r="BA346" s="1826"/>
      <c r="BB346" s="1826"/>
      <c r="BC346" s="1826"/>
      <c r="BD346" s="1826"/>
      <c r="BE346" s="1826"/>
      <c r="BF346" s="1826"/>
      <c r="BG346" s="1639"/>
    </row>
    <row customHeight="1" ht="0.75">
      <c r="A347" s="1170" t="s">
        <v>1239</v>
      </c>
      <c r="B347" s="1170"/>
      <c r="C347" s="1170"/>
      <c r="D347" s="1164"/>
      <c r="E347" s="1174"/>
      <c r="F347" s="2553">
        <v>2024</v>
      </c>
      <c r="G347" s="2532"/>
      <c r="H347" s="2557" t="s">
        <v>514</v>
      </c>
      <c r="I347" s="2558"/>
      <c r="J347" s="2559"/>
      <c r="K347" s="2559"/>
      <c r="L347" s="2551"/>
      <c r="M347" s="2285"/>
      <c r="N347" s="2037"/>
      <c r="O347" s="2036"/>
      <c r="P347" s="2037"/>
      <c r="Q347" s="2037"/>
      <c r="R347" s="2037"/>
      <c r="S347" s="2037"/>
      <c r="T347" s="2037"/>
      <c r="U347" s="2037"/>
      <c r="V347" s="2037"/>
      <c r="W347" s="2037"/>
      <c r="X347" s="2037"/>
      <c r="Y347" s="2037"/>
      <c r="Z347" s="2037"/>
      <c r="AA347" s="2037"/>
      <c r="AB347" s="2037"/>
      <c r="AC347" s="2037"/>
      <c r="AD347" s="2037"/>
      <c r="AE347" s="2037"/>
      <c r="AF347" s="2555"/>
      <c r="AG347" s="2551"/>
      <c r="AH347" s="2551"/>
      <c r="AI347" s="2555"/>
      <c r="AJ347" s="2551"/>
      <c r="AK347" s="2551"/>
      <c r="AL347" s="1989"/>
      <c r="AM347" s="1826"/>
      <c r="AN347" s="1826"/>
      <c r="AO347" s="1826"/>
      <c r="AP347" s="1826"/>
      <c r="AQ347" s="1826"/>
      <c r="AR347" s="1826"/>
      <c r="AS347" s="1826"/>
      <c r="AT347" s="1826"/>
      <c r="AU347" s="1826"/>
      <c r="AV347" s="1826"/>
      <c r="AW347" s="1826"/>
      <c r="AX347" s="1826"/>
      <c r="AY347" s="1826"/>
      <c r="AZ347" s="1826"/>
      <c r="BA347" s="1826"/>
      <c r="BB347" s="1826"/>
      <c r="BC347" s="1826"/>
      <c r="BD347" s="1826"/>
      <c r="BE347" s="1826"/>
      <c r="BF347" s="1826"/>
      <c r="BG347" s="1639"/>
    </row>
    <row customHeight="1" ht="0.75">
      <c r="A348" s="1170" t="s">
        <v>1239</v>
      </c>
      <c r="B348" s="1170"/>
      <c r="C348" s="1170"/>
      <c r="D348" s="1164"/>
      <c r="E348" s="1174"/>
      <c r="F348" s="2553"/>
      <c r="G348" s="2532"/>
      <c r="H348" s="2557"/>
      <c r="I348" s="2558"/>
      <c r="J348" s="2559"/>
      <c r="K348" s="2559"/>
      <c r="L348" s="2551"/>
      <c r="M348" s="2285"/>
      <c r="N348" s="2560"/>
      <c r="O348" s="2561"/>
      <c r="P348" s="2605"/>
      <c r="Q348" s="2556"/>
      <c r="R348" s="2556"/>
      <c r="S348" s="2556"/>
      <c r="T348" s="2556"/>
      <c r="U348" s="2556"/>
      <c r="V348" s="2556"/>
      <c r="W348" s="2556"/>
      <c r="X348" s="2556"/>
      <c r="Y348" s="2556"/>
      <c r="Z348" s="2038"/>
      <c r="AA348" s="2039"/>
      <c r="AB348" s="2039"/>
      <c r="AC348" s="2040"/>
      <c r="AD348" s="2040"/>
      <c r="AE348" s="2041"/>
      <c r="AF348" s="2555"/>
      <c r="AG348" s="2551"/>
      <c r="AH348" s="2551"/>
      <c r="AI348" s="2555"/>
      <c r="AJ348" s="2551"/>
      <c r="AK348" s="2551"/>
      <c r="AL348" s="1989"/>
      <c r="AM348" s="1826"/>
      <c r="AN348" s="1826"/>
      <c r="AO348" s="1826"/>
      <c r="AP348" s="1826"/>
      <c r="AQ348" s="1826"/>
      <c r="AR348" s="1826"/>
      <c r="AS348" s="1826"/>
      <c r="AT348" s="1826"/>
      <c r="AU348" s="1826"/>
      <c r="AV348" s="1826"/>
      <c r="AW348" s="1826"/>
      <c r="AX348" s="1826"/>
      <c r="AY348" s="1826"/>
      <c r="AZ348" s="1826"/>
      <c r="BA348" s="1826"/>
      <c r="BB348" s="1826"/>
      <c r="BC348" s="1826"/>
      <c r="BD348" s="1826"/>
      <c r="BE348" s="1826"/>
      <c r="BF348" s="1826"/>
      <c r="BG348" s="1639"/>
    </row>
    <row customHeight="1" ht="0.75">
      <c r="A349" s="1170" t="s">
        <v>1239</v>
      </c>
      <c r="B349" s="1170"/>
      <c r="C349" s="1170"/>
      <c r="D349" s="1164"/>
      <c r="E349" s="1174"/>
      <c r="F349" s="2553"/>
      <c r="G349" s="2532"/>
      <c r="H349" s="2557"/>
      <c r="I349" s="2558"/>
      <c r="J349" s="2559"/>
      <c r="K349" s="2559"/>
      <c r="L349" s="2551"/>
      <c r="M349" s="2285"/>
      <c r="N349" s="2560"/>
      <c r="O349" s="2561"/>
      <c r="P349" s="2606"/>
      <c r="Q349" s="2556"/>
      <c r="R349" s="2556"/>
      <c r="S349" s="2556"/>
      <c r="T349" s="2556"/>
      <c r="U349" s="2556"/>
      <c r="V349" s="2556"/>
      <c r="W349" s="2556"/>
      <c r="X349" s="2556"/>
      <c r="Y349" s="2556"/>
      <c r="Z349" s="2042"/>
      <c r="AA349" s="2043"/>
      <c r="AB349" s="2044"/>
      <c r="AC349" s="2045"/>
      <c r="AD349" s="2044"/>
      <c r="AE349" s="2045"/>
      <c r="AF349" s="2555"/>
      <c r="AG349" s="2551"/>
      <c r="AH349" s="2551"/>
      <c r="AI349" s="2555"/>
      <c r="AJ349" s="2551"/>
      <c r="AK349" s="2551"/>
      <c r="AL349" s="1989"/>
      <c r="AM349" s="1826"/>
      <c r="AN349" s="1826"/>
      <c r="AO349" s="1826"/>
      <c r="AP349" s="1826"/>
      <c r="AQ349" s="1826"/>
      <c r="AR349" s="1826"/>
      <c r="AS349" s="1826"/>
      <c r="AT349" s="1826"/>
      <c r="AU349" s="1826"/>
      <c r="AV349" s="1826"/>
      <c r="AW349" s="1826"/>
      <c r="AX349" s="1826"/>
      <c r="AY349" s="1826"/>
      <c r="AZ349" s="1826"/>
      <c r="BA349" s="1826"/>
      <c r="BB349" s="1826"/>
      <c r="BC349" s="1826"/>
      <c r="BD349" s="1826"/>
      <c r="BE349" s="1826"/>
      <c r="BF349" s="1826"/>
      <c r="BG349" s="1639"/>
    </row>
    <row customHeight="1" ht="0.75">
      <c r="A350" s="1170" t="s">
        <v>1239</v>
      </c>
      <c r="B350" s="1170"/>
      <c r="C350" s="1170"/>
      <c r="D350" s="1164"/>
      <c r="E350" s="1174"/>
      <c r="F350" s="2553"/>
      <c r="G350" s="2532"/>
      <c r="H350" s="2557"/>
      <c r="I350" s="2558"/>
      <c r="J350" s="2559"/>
      <c r="K350" s="2559"/>
      <c r="L350" s="2551"/>
      <c r="M350" s="2285"/>
      <c r="N350" s="2560"/>
      <c r="O350" s="2561"/>
      <c r="P350" s="2607"/>
      <c r="Q350" s="2556"/>
      <c r="R350" s="2556"/>
      <c r="S350" s="2556"/>
      <c r="T350" s="2556"/>
      <c r="U350" s="2556"/>
      <c r="V350" s="2556"/>
      <c r="W350" s="2556"/>
      <c r="X350" s="2556"/>
      <c r="Y350" s="2556"/>
      <c r="Z350" s="2038"/>
      <c r="AA350" s="2039"/>
      <c r="AB350" s="2046"/>
      <c r="AC350" s="2040"/>
      <c r="AD350" s="2040"/>
      <c r="AE350" s="2047"/>
      <c r="AF350" s="2555"/>
      <c r="AG350" s="2551"/>
      <c r="AH350" s="2551"/>
      <c r="AI350" s="2555"/>
      <c r="AJ350" s="2551"/>
      <c r="AK350" s="2551"/>
      <c r="AL350" s="1989"/>
      <c r="AM350" s="1826"/>
      <c r="AN350" s="1826"/>
      <c r="AO350" s="1826"/>
      <c r="AP350" s="1826"/>
      <c r="AQ350" s="1826"/>
      <c r="AR350" s="1826"/>
      <c r="AS350" s="1826"/>
      <c r="AT350" s="1826"/>
      <c r="AU350" s="1826"/>
      <c r="AV350" s="1826"/>
      <c r="AW350" s="1826"/>
      <c r="AX350" s="1826"/>
      <c r="AY350" s="1826"/>
      <c r="AZ350" s="1826"/>
      <c r="BA350" s="1826"/>
      <c r="BB350" s="1826"/>
      <c r="BC350" s="1826"/>
      <c r="BD350" s="1826"/>
      <c r="BE350" s="1826"/>
      <c r="BF350" s="1826"/>
      <c r="BG350" s="1639"/>
    </row>
    <row customHeight="1" ht="0.75">
      <c r="A351" s="1170" t="s">
        <v>1239</v>
      </c>
      <c r="B351" s="1170"/>
      <c r="C351" s="1170"/>
      <c r="D351" s="1164"/>
      <c r="E351" s="1174"/>
      <c r="F351" s="2553"/>
      <c r="G351" s="2532"/>
      <c r="H351" s="2557"/>
      <c r="I351" s="2558"/>
      <c r="J351" s="2559"/>
      <c r="K351" s="2559"/>
      <c r="L351" s="2551"/>
      <c r="M351" s="2285"/>
      <c r="N351" s="2039"/>
      <c r="O351" s="2039"/>
      <c r="P351" s="2046"/>
      <c r="Q351" s="2039"/>
      <c r="R351" s="2039"/>
      <c r="S351" s="2039"/>
      <c r="T351" s="2039"/>
      <c r="U351" s="2039"/>
      <c r="V351" s="2039"/>
      <c r="W351" s="2039"/>
      <c r="X351" s="2039"/>
      <c r="Y351" s="2039"/>
      <c r="Z351" s="2039"/>
      <c r="AA351" s="2039"/>
      <c r="AB351" s="2039"/>
      <c r="AC351" s="2039"/>
      <c r="AD351" s="2039"/>
      <c r="AE351" s="2048"/>
      <c r="AF351" s="2555"/>
      <c r="AG351" s="2551"/>
      <c r="AH351" s="2551"/>
      <c r="AI351" s="2555"/>
      <c r="AJ351" s="2551"/>
      <c r="AK351" s="2551"/>
      <c r="AL351" s="1989"/>
      <c r="AM351" s="1826"/>
      <c r="AN351" s="1826"/>
      <c r="AO351" s="1826"/>
      <c r="AP351" s="1826"/>
      <c r="AQ351" s="1826"/>
      <c r="AR351" s="1826"/>
      <c r="AS351" s="1826"/>
      <c r="AT351" s="1826"/>
      <c r="AU351" s="1826"/>
      <c r="AV351" s="1826"/>
      <c r="AW351" s="1826"/>
      <c r="AX351" s="1826"/>
      <c r="AY351" s="1826"/>
      <c r="AZ351" s="1826"/>
      <c r="BA351" s="1826"/>
      <c r="BB351" s="1826"/>
      <c r="BC351" s="1826"/>
      <c r="BD351" s="1826"/>
      <c r="BE351" s="1826"/>
      <c r="BF351" s="1826"/>
      <c r="BG351" s="1639"/>
    </row>
    <row customHeight="1" ht="11.25">
      <c r="A352" s="1170" t="s">
        <v>1239</v>
      </c>
      <c r="B352" s="1170"/>
      <c r="C352" s="1170"/>
      <c r="D352" s="1164"/>
      <c r="E352" s="1174"/>
      <c r="F352" s="1832"/>
      <c r="G352" s="687" t="s">
        <v>103</v>
      </c>
      <c r="H352" s="2532" t="s">
        <v>105</v>
      </c>
      <c r="I352" s="2533"/>
      <c r="J352" s="2502"/>
      <c r="K352" s="2534" t="s">
        <v>1336</v>
      </c>
      <c r="L352" s="2124" t="s">
        <v>19</v>
      </c>
      <c r="M352" s="2125"/>
      <c r="N352" s="1987"/>
      <c r="O352" s="1181" t="s">
        <v>514</v>
      </c>
      <c r="P352" s="1182"/>
      <c r="Q352" s="1182"/>
      <c r="R352" s="1182"/>
      <c r="S352" s="1182"/>
      <c r="T352" s="1182"/>
      <c r="U352" s="1182"/>
      <c r="V352" s="1182"/>
      <c r="W352" s="1182"/>
      <c r="X352" s="1182"/>
      <c r="Y352" s="1182"/>
      <c r="Z352" s="1182"/>
      <c r="AA352" s="1182"/>
      <c r="AB352" s="1182"/>
      <c r="AC352" s="1182"/>
      <c r="AD352" s="1182"/>
      <c r="AE352" s="1182"/>
      <c r="AF352" s="2523">
        <v>8</v>
      </c>
      <c r="AG352" s="2524" t="s">
        <v>1302</v>
      </c>
      <c r="AH352" s="2524" t="s">
        <v>1334</v>
      </c>
      <c r="AI352" s="2523">
        <v>8</v>
      </c>
      <c r="AJ352" s="2524" t="s">
        <v>1302</v>
      </c>
      <c r="AK352" s="2524" t="s">
        <v>1334</v>
      </c>
      <c r="AL352" s="1989"/>
      <c r="AM352" s="1826"/>
      <c r="AN352" s="1826"/>
      <c r="AO352" s="1826"/>
      <c r="AP352" s="1826"/>
      <c r="AQ352" s="1826"/>
      <c r="AR352" s="1826"/>
      <c r="AS352" s="1826"/>
      <c r="AT352" s="1826"/>
      <c r="AU352" s="1826"/>
      <c r="AV352" s="1826"/>
      <c r="AW352" s="1826"/>
      <c r="AX352" s="1826"/>
      <c r="AY352" s="1826"/>
      <c r="AZ352" s="1826"/>
      <c r="BA352" s="1826"/>
      <c r="BB352" s="1826"/>
      <c r="BC352" s="1826"/>
      <c r="BD352" s="1826"/>
      <c r="BE352" s="1826"/>
      <c r="BF352" s="1826"/>
      <c r="BG352" s="1639"/>
    </row>
    <row customHeight="1" ht="11.25">
      <c r="A353" s="1170" t="s">
        <v>1239</v>
      </c>
      <c r="B353" s="1170"/>
      <c r="C353" s="1170"/>
      <c r="D353" s="1164"/>
      <c r="E353" s="1174"/>
      <c r="F353" s="1832"/>
      <c r="G353" s="1833"/>
      <c r="H353" s="2532" t="s">
        <v>514</v>
      </c>
      <c r="I353" s="2533"/>
      <c r="J353" s="2502"/>
      <c r="K353" s="2534"/>
      <c r="L353" s="2124"/>
      <c r="M353" s="2125"/>
      <c r="N353" s="2525"/>
      <c r="O353" s="2526">
        <v>1</v>
      </c>
      <c r="P353" s="2527" t="s">
        <v>19</v>
      </c>
      <c r="Q353" s="2530" t="s">
        <v>22</v>
      </c>
      <c r="R353" s="2530" t="s">
        <v>22</v>
      </c>
      <c r="S353" s="2530" t="s">
        <v>22</v>
      </c>
      <c r="T353" s="2530" t="s">
        <v>22</v>
      </c>
      <c r="U353" s="2530" t="s">
        <v>22</v>
      </c>
      <c r="V353" s="2530" t="s">
        <v>22</v>
      </c>
      <c r="W353" s="2530" t="s">
        <v>22</v>
      </c>
      <c r="X353" s="2530" t="s">
        <v>22</v>
      </c>
      <c r="Y353" s="2530"/>
      <c r="Z353" s="1179"/>
      <c r="AA353" s="1180"/>
      <c r="AB353" s="1180"/>
      <c r="AC353" s="1184"/>
      <c r="AD353" s="1184"/>
      <c r="AE353" s="1185"/>
      <c r="AF353" s="2523"/>
      <c r="AG353" s="2524"/>
      <c r="AH353" s="2524"/>
      <c r="AI353" s="2523"/>
      <c r="AJ353" s="2524"/>
      <c r="AK353" s="2524"/>
      <c r="AL353" s="1989"/>
      <c r="AM353" s="1826"/>
      <c r="AN353" s="1826"/>
      <c r="AO353" s="1826"/>
      <c r="AP353" s="1826"/>
      <c r="AQ353" s="1826"/>
      <c r="AR353" s="1826"/>
      <c r="AS353" s="1826"/>
      <c r="AT353" s="1826"/>
      <c r="AU353" s="1826"/>
      <c r="AV353" s="1826"/>
      <c r="AW353" s="1826"/>
      <c r="AX353" s="1826"/>
      <c r="AY353" s="1826"/>
      <c r="AZ353" s="1826"/>
      <c r="BA353" s="1826"/>
      <c r="BB353" s="1826"/>
      <c r="BC353" s="1826"/>
      <c r="BD353" s="1826"/>
      <c r="BE353" s="1826"/>
      <c r="BF353" s="1826"/>
      <c r="BG353" s="1639"/>
    </row>
    <row customHeight="1" ht="11.25">
      <c r="A354" s="1170" t="s">
        <v>1239</v>
      </c>
      <c r="B354" s="1170"/>
      <c r="C354" s="1170"/>
      <c r="D354" s="1164"/>
      <c r="E354" s="1174"/>
      <c r="F354" s="1832"/>
      <c r="G354" s="1833"/>
      <c r="H354" s="2532" t="s">
        <v>514</v>
      </c>
      <c r="I354" s="2533"/>
      <c r="J354" s="2502"/>
      <c r="K354" s="2534"/>
      <c r="L354" s="2124"/>
      <c r="M354" s="2125"/>
      <c r="N354" s="2525"/>
      <c r="O354" s="2526"/>
      <c r="P354" s="2528"/>
      <c r="Q354" s="2530"/>
      <c r="R354" s="2530"/>
      <c r="S354" s="2531"/>
      <c r="T354" s="2530"/>
      <c r="U354" s="2530"/>
      <c r="V354" s="2530"/>
      <c r="W354" s="2530"/>
      <c r="X354" s="2530"/>
      <c r="Y354" s="2530"/>
      <c r="Z354" s="1831"/>
      <c r="AA354" s="1797">
        <v>1</v>
      </c>
      <c r="AB354" s="1183" t="s">
        <v>1312</v>
      </c>
      <c r="AC354" s="1173">
        <v>0</v>
      </c>
      <c r="AD354" s="1183" t="str">
        <f>AB354</f>
        <v>  Прибыль направляемая на инвестиции</v>
      </c>
      <c r="AE354" s="1173">
        <v>0</v>
      </c>
      <c r="AF354" s="2523"/>
      <c r="AG354" s="2524"/>
      <c r="AH354" s="2524"/>
      <c r="AI354" s="2523"/>
      <c r="AJ354" s="2524"/>
      <c r="AK354" s="2524"/>
      <c r="AL354" s="1989"/>
      <c r="AM354" s="1826"/>
      <c r="AN354" s="1826"/>
      <c r="AO354" s="1826"/>
      <c r="AP354" s="1826"/>
      <c r="AQ354" s="1826"/>
      <c r="AR354" s="1826"/>
      <c r="AS354" s="1826"/>
      <c r="AT354" s="1826"/>
      <c r="AU354" s="1826"/>
      <c r="AV354" s="1826"/>
      <c r="AW354" s="1826"/>
      <c r="AX354" s="1826"/>
      <c r="AY354" s="1826"/>
      <c r="AZ354" s="1826"/>
      <c r="BA354" s="1826"/>
      <c r="BB354" s="1826"/>
      <c r="BC354" s="1826"/>
      <c r="BD354" s="1826"/>
      <c r="BE354" s="1826"/>
      <c r="BF354" s="1826"/>
      <c r="BG354" s="1639"/>
    </row>
    <row customHeight="1" ht="11.25">
      <c r="A355" s="1170" t="s">
        <v>1239</v>
      </c>
      <c r="B355" s="1170"/>
      <c r="C355" s="1170"/>
      <c r="D355" s="1164"/>
      <c r="E355" s="1174"/>
      <c r="F355" s="1832"/>
      <c r="G355" s="1833"/>
      <c r="H355" s="2532" t="s">
        <v>514</v>
      </c>
      <c r="I355" s="2533"/>
      <c r="J355" s="2502"/>
      <c r="K355" s="2534"/>
      <c r="L355" s="2124"/>
      <c r="M355" s="2125"/>
      <c r="N355" s="2525"/>
      <c r="O355" s="2526"/>
      <c r="P355" s="2529"/>
      <c r="Q355" s="2530"/>
      <c r="R355" s="2530"/>
      <c r="S355" s="2531"/>
      <c r="T355" s="2530"/>
      <c r="U355" s="2530"/>
      <c r="V355" s="2530"/>
      <c r="W355" s="2530"/>
      <c r="X355" s="2530"/>
      <c r="Y355" s="2530"/>
      <c r="Z355" s="1179"/>
      <c r="AA355" s="1180"/>
      <c r="AB355" s="1245" t="s">
        <v>1313</v>
      </c>
      <c r="AC355" s="1184"/>
      <c r="AD355" s="1184"/>
      <c r="AE355" s="1186"/>
      <c r="AF355" s="2523"/>
      <c r="AG355" s="2524"/>
      <c r="AH355" s="2524"/>
      <c r="AI355" s="2523"/>
      <c r="AJ355" s="2524"/>
      <c r="AK355" s="2524"/>
      <c r="AL355" s="1989"/>
      <c r="AM355" s="1826"/>
      <c r="AN355" s="1826"/>
      <c r="AO355" s="1826"/>
      <c r="AP355" s="1826"/>
      <c r="AQ355" s="1826"/>
      <c r="AR355" s="1826"/>
      <c r="AS355" s="1826"/>
      <c r="AT355" s="1826"/>
      <c r="AU355" s="1826"/>
      <c r="AV355" s="1826"/>
      <c r="AW355" s="1826"/>
      <c r="AX355" s="1826"/>
      <c r="AY355" s="1826"/>
      <c r="AZ355" s="1826"/>
      <c r="BA355" s="1826"/>
      <c r="BB355" s="1826"/>
      <c r="BC355" s="1826"/>
      <c r="BD355" s="1826"/>
      <c r="BE355" s="1826"/>
      <c r="BF355" s="1826"/>
      <c r="BG355" s="1639"/>
    </row>
    <row customHeight="1" ht="11.25">
      <c r="A356" s="1170" t="s">
        <v>1239</v>
      </c>
      <c r="B356" s="1170"/>
      <c r="C356" s="1170"/>
      <c r="D356" s="1164"/>
      <c r="E356" s="1174"/>
      <c r="F356" s="1832"/>
      <c r="G356" s="1833"/>
      <c r="H356" s="2532" t="s">
        <v>514</v>
      </c>
      <c r="I356" s="2533"/>
      <c r="J356" s="2502"/>
      <c r="K356" s="2534"/>
      <c r="L356" s="2124"/>
      <c r="M356" s="2125"/>
      <c r="N356" s="1179"/>
      <c r="O356" s="1180"/>
      <c r="P356" s="1172" t="s">
        <v>1314</v>
      </c>
      <c r="Q356" s="1180"/>
      <c r="R356" s="1180"/>
      <c r="S356" s="1180"/>
      <c r="T356" s="1180"/>
      <c r="U356" s="1180"/>
      <c r="V356" s="1180"/>
      <c r="W356" s="1180"/>
      <c r="X356" s="1180"/>
      <c r="Y356" s="1180"/>
      <c r="Z356" s="1180"/>
      <c r="AA356" s="1180"/>
      <c r="AB356" s="1180"/>
      <c r="AC356" s="1180"/>
      <c r="AD356" s="1180"/>
      <c r="AE356" s="1187"/>
      <c r="AF356" s="2523"/>
      <c r="AG356" s="2524"/>
      <c r="AH356" s="2524"/>
      <c r="AI356" s="2523"/>
      <c r="AJ356" s="2524"/>
      <c r="AK356" s="2524"/>
      <c r="AL356" s="1989"/>
      <c r="AM356" s="1826"/>
      <c r="AN356" s="1826"/>
      <c r="AO356" s="1826"/>
      <c r="AP356" s="1826"/>
      <c r="AQ356" s="1826"/>
      <c r="AR356" s="1826"/>
      <c r="AS356" s="1826"/>
      <c r="AT356" s="1826"/>
      <c r="AU356" s="1826"/>
      <c r="AV356" s="1826"/>
      <c r="AW356" s="1826"/>
      <c r="AX356" s="1826"/>
      <c r="AY356" s="1826"/>
      <c r="AZ356" s="1826"/>
      <c r="BA356" s="1826"/>
      <c r="BB356" s="1826"/>
      <c r="BC356" s="1826"/>
      <c r="BD356" s="1826"/>
      <c r="BE356" s="1826"/>
      <c r="BF356" s="1826"/>
      <c r="BG356" s="1639"/>
    </row>
    <row customHeight="1" ht="12">
      <c r="A357" s="1170" t="s">
        <v>1239</v>
      </c>
      <c r="B357" s="1170"/>
      <c r="C357" s="1170"/>
      <c r="D357" s="1164"/>
      <c r="E357" s="1174"/>
      <c r="F357" s="2554"/>
      <c r="G357" s="1194"/>
      <c r="H357" s="1194"/>
      <c r="I357" s="2552" t="s">
        <v>1300</v>
      </c>
      <c r="J357" s="2552"/>
      <c r="K357" s="2552"/>
      <c r="L357" s="1177"/>
      <c r="M357" s="1177"/>
      <c r="N357" s="1178"/>
      <c r="O357" s="1178"/>
      <c r="P357" s="1178"/>
      <c r="Q357" s="1178"/>
      <c r="R357" s="1178"/>
      <c r="S357" s="1178"/>
      <c r="T357" s="1178"/>
      <c r="U357" s="1178"/>
      <c r="V357" s="1178"/>
      <c r="W357" s="1178"/>
      <c r="X357" s="1178"/>
      <c r="Y357" s="1178"/>
      <c r="Z357" s="1178"/>
      <c r="AA357" s="1178"/>
      <c r="AB357" s="1178"/>
      <c r="AC357" s="1178"/>
      <c r="AD357" s="1178"/>
      <c r="AE357" s="1178"/>
      <c r="AF357" s="1178"/>
      <c r="AG357" s="1177"/>
      <c r="AH357" s="1177"/>
      <c r="AI357" s="1178"/>
      <c r="AJ357" s="1177"/>
      <c r="AK357" s="1178"/>
      <c r="AL357" s="1989"/>
      <c r="AM357" s="1826"/>
      <c r="AN357" s="1826"/>
      <c r="AO357" s="1826"/>
      <c r="AP357" s="1826"/>
      <c r="AQ357" s="1826"/>
      <c r="AR357" s="1826"/>
      <c r="AS357" s="1826"/>
      <c r="AT357" s="1826"/>
      <c r="AU357" s="1826"/>
      <c r="AV357" s="1826"/>
      <c r="AW357" s="1826"/>
      <c r="AX357" s="1826"/>
      <c r="AY357" s="1826"/>
      <c r="AZ357" s="1826"/>
      <c r="BA357" s="1826"/>
      <c r="BB357" s="1826"/>
      <c r="BC357" s="1826"/>
      <c r="BD357" s="1826"/>
      <c r="BE357" s="1826"/>
      <c r="BF357" s="1826"/>
      <c r="BG357" s="1639"/>
    </row>
    <row customHeight="1" ht="0.75">
      <c r="A358" s="1170" t="s">
        <v>1239</v>
      </c>
      <c r="B358" s="1170"/>
      <c r="C358" s="1170"/>
      <c r="D358" s="1164"/>
      <c r="E358" s="1174"/>
      <c r="F358" s="2553">
        <v>2025</v>
      </c>
      <c r="G358" s="2532"/>
      <c r="H358" s="2557" t="s">
        <v>514</v>
      </c>
      <c r="I358" s="2558"/>
      <c r="J358" s="2559"/>
      <c r="K358" s="2559"/>
      <c r="L358" s="2551"/>
      <c r="M358" s="2285"/>
      <c r="N358" s="2037"/>
      <c r="O358" s="2036"/>
      <c r="P358" s="2037"/>
      <c r="Q358" s="2037"/>
      <c r="R358" s="2037"/>
      <c r="S358" s="2037"/>
      <c r="T358" s="2037"/>
      <c r="U358" s="2037"/>
      <c r="V358" s="2037"/>
      <c r="W358" s="2037"/>
      <c r="X358" s="2037"/>
      <c r="Y358" s="2037"/>
      <c r="Z358" s="2037"/>
      <c r="AA358" s="2037"/>
      <c r="AB358" s="2037"/>
      <c r="AC358" s="2037"/>
      <c r="AD358" s="2037"/>
      <c r="AE358" s="2037"/>
      <c r="AF358" s="2555"/>
      <c r="AG358" s="2551"/>
      <c r="AH358" s="2551"/>
      <c r="AI358" s="2555"/>
      <c r="AJ358" s="2551"/>
      <c r="AK358" s="2551"/>
      <c r="AL358" s="1989"/>
      <c r="AM358" s="1826"/>
      <c r="AN358" s="1826"/>
      <c r="AO358" s="1826"/>
      <c r="AP358" s="1826"/>
      <c r="AQ358" s="1826"/>
      <c r="AR358" s="1826"/>
      <c r="AS358" s="1826"/>
      <c r="AT358" s="1826"/>
      <c r="AU358" s="1826"/>
      <c r="AV358" s="1826"/>
      <c r="AW358" s="1826"/>
      <c r="AX358" s="1826"/>
      <c r="AY358" s="1826"/>
      <c r="AZ358" s="1826"/>
      <c r="BA358" s="1826"/>
      <c r="BB358" s="1826"/>
      <c r="BC358" s="1826"/>
      <c r="BD358" s="1826"/>
      <c r="BE358" s="1826"/>
      <c r="BF358" s="1826"/>
      <c r="BG358" s="1639"/>
    </row>
    <row customHeight="1" ht="0.75">
      <c r="A359" s="1170" t="s">
        <v>1239</v>
      </c>
      <c r="B359" s="1170"/>
      <c r="C359" s="1170"/>
      <c r="D359" s="1164"/>
      <c r="E359" s="1174"/>
      <c r="F359" s="2553"/>
      <c r="G359" s="2532"/>
      <c r="H359" s="2557"/>
      <c r="I359" s="2558"/>
      <c r="J359" s="2559"/>
      <c r="K359" s="2559"/>
      <c r="L359" s="2551"/>
      <c r="M359" s="2285"/>
      <c r="N359" s="2560"/>
      <c r="O359" s="2561"/>
      <c r="P359" s="2605"/>
      <c r="Q359" s="2556"/>
      <c r="R359" s="2556"/>
      <c r="S359" s="2556"/>
      <c r="T359" s="2556"/>
      <c r="U359" s="2556"/>
      <c r="V359" s="2556"/>
      <c r="W359" s="2556"/>
      <c r="X359" s="2556"/>
      <c r="Y359" s="2556"/>
      <c r="Z359" s="2038"/>
      <c r="AA359" s="2039"/>
      <c r="AB359" s="2039"/>
      <c r="AC359" s="2040"/>
      <c r="AD359" s="2040"/>
      <c r="AE359" s="2041"/>
      <c r="AF359" s="2555"/>
      <c r="AG359" s="2551"/>
      <c r="AH359" s="2551"/>
      <c r="AI359" s="2555"/>
      <c r="AJ359" s="2551"/>
      <c r="AK359" s="2551"/>
      <c r="AL359" s="1989"/>
      <c r="AM359" s="1826"/>
      <c r="AN359" s="1826"/>
      <c r="AO359" s="1826"/>
      <c r="AP359" s="1826"/>
      <c r="AQ359" s="1826"/>
      <c r="AR359" s="1826"/>
      <c r="AS359" s="1826"/>
      <c r="AT359" s="1826"/>
      <c r="AU359" s="1826"/>
      <c r="AV359" s="1826"/>
      <c r="AW359" s="1826"/>
      <c r="AX359" s="1826"/>
      <c r="AY359" s="1826"/>
      <c r="AZ359" s="1826"/>
      <c r="BA359" s="1826"/>
      <c r="BB359" s="1826"/>
      <c r="BC359" s="1826"/>
      <c r="BD359" s="1826"/>
      <c r="BE359" s="1826"/>
      <c r="BF359" s="1826"/>
      <c r="BG359" s="1639"/>
    </row>
    <row customHeight="1" ht="0.75">
      <c r="A360" s="1170" t="s">
        <v>1239</v>
      </c>
      <c r="B360" s="1170"/>
      <c r="C360" s="1170"/>
      <c r="D360" s="1164"/>
      <c r="E360" s="1174"/>
      <c r="F360" s="2553"/>
      <c r="G360" s="2532"/>
      <c r="H360" s="2557"/>
      <c r="I360" s="2558"/>
      <c r="J360" s="2559"/>
      <c r="K360" s="2559"/>
      <c r="L360" s="2551"/>
      <c r="M360" s="2285"/>
      <c r="N360" s="2560"/>
      <c r="O360" s="2561"/>
      <c r="P360" s="2606"/>
      <c r="Q360" s="2556"/>
      <c r="R360" s="2556"/>
      <c r="S360" s="2556"/>
      <c r="T360" s="2556"/>
      <c r="U360" s="2556"/>
      <c r="V360" s="2556"/>
      <c r="W360" s="2556"/>
      <c r="X360" s="2556"/>
      <c r="Y360" s="2556"/>
      <c r="Z360" s="2042"/>
      <c r="AA360" s="2043"/>
      <c r="AB360" s="2044"/>
      <c r="AC360" s="2045"/>
      <c r="AD360" s="2044"/>
      <c r="AE360" s="2045"/>
      <c r="AF360" s="2555"/>
      <c r="AG360" s="2551"/>
      <c r="AH360" s="2551"/>
      <c r="AI360" s="2555"/>
      <c r="AJ360" s="2551"/>
      <c r="AK360" s="2551"/>
      <c r="AL360" s="1989"/>
      <c r="AM360" s="1826"/>
      <c r="AN360" s="1826"/>
      <c r="AO360" s="1826"/>
      <c r="AP360" s="1826"/>
      <c r="AQ360" s="1826"/>
      <c r="AR360" s="1826"/>
      <c r="AS360" s="1826"/>
      <c r="AT360" s="1826"/>
      <c r="AU360" s="1826"/>
      <c r="AV360" s="1826"/>
      <c r="AW360" s="1826"/>
      <c r="AX360" s="1826"/>
      <c r="AY360" s="1826"/>
      <c r="AZ360" s="1826"/>
      <c r="BA360" s="1826"/>
      <c r="BB360" s="1826"/>
      <c r="BC360" s="1826"/>
      <c r="BD360" s="1826"/>
      <c r="BE360" s="1826"/>
      <c r="BF360" s="1826"/>
      <c r="BG360" s="1639"/>
    </row>
    <row customHeight="1" ht="0.75">
      <c r="A361" s="1170" t="s">
        <v>1239</v>
      </c>
      <c r="B361" s="1170"/>
      <c r="C361" s="1170"/>
      <c r="D361" s="1164"/>
      <c r="E361" s="1174"/>
      <c r="F361" s="2553"/>
      <c r="G361" s="2532"/>
      <c r="H361" s="2557"/>
      <c r="I361" s="2558"/>
      <c r="J361" s="2559"/>
      <c r="K361" s="2559"/>
      <c r="L361" s="2551"/>
      <c r="M361" s="2285"/>
      <c r="N361" s="2560"/>
      <c r="O361" s="2561"/>
      <c r="P361" s="2607"/>
      <c r="Q361" s="2556"/>
      <c r="R361" s="2556"/>
      <c r="S361" s="2556"/>
      <c r="T361" s="2556"/>
      <c r="U361" s="2556"/>
      <c r="V361" s="2556"/>
      <c r="W361" s="2556"/>
      <c r="X361" s="2556"/>
      <c r="Y361" s="2556"/>
      <c r="Z361" s="2038"/>
      <c r="AA361" s="2039"/>
      <c r="AB361" s="2046"/>
      <c r="AC361" s="2040"/>
      <c r="AD361" s="2040"/>
      <c r="AE361" s="2047"/>
      <c r="AF361" s="2555"/>
      <c r="AG361" s="2551"/>
      <c r="AH361" s="2551"/>
      <c r="AI361" s="2555"/>
      <c r="AJ361" s="2551"/>
      <c r="AK361" s="2551"/>
      <c r="AL361" s="1989"/>
      <c r="AM361" s="1826"/>
      <c r="AN361" s="1826"/>
      <c r="AO361" s="1826"/>
      <c r="AP361" s="1826"/>
      <c r="AQ361" s="1826"/>
      <c r="AR361" s="1826"/>
      <c r="AS361" s="1826"/>
      <c r="AT361" s="1826"/>
      <c r="AU361" s="1826"/>
      <c r="AV361" s="1826"/>
      <c r="AW361" s="1826"/>
      <c r="AX361" s="1826"/>
      <c r="AY361" s="1826"/>
      <c r="AZ361" s="1826"/>
      <c r="BA361" s="1826"/>
      <c r="BB361" s="1826"/>
      <c r="BC361" s="1826"/>
      <c r="BD361" s="1826"/>
      <c r="BE361" s="1826"/>
      <c r="BF361" s="1826"/>
      <c r="BG361" s="1639"/>
    </row>
    <row customHeight="1" ht="0.75">
      <c r="A362" s="1170" t="s">
        <v>1239</v>
      </c>
      <c r="B362" s="1170"/>
      <c r="C362" s="1170"/>
      <c r="D362" s="1164"/>
      <c r="E362" s="1174"/>
      <c r="F362" s="2553"/>
      <c r="G362" s="2532"/>
      <c r="H362" s="2557"/>
      <c r="I362" s="2558"/>
      <c r="J362" s="2559"/>
      <c r="K362" s="2559"/>
      <c r="L362" s="2551"/>
      <c r="M362" s="2285"/>
      <c r="N362" s="2039"/>
      <c r="O362" s="2039"/>
      <c r="P362" s="2046"/>
      <c r="Q362" s="2039"/>
      <c r="R362" s="2039"/>
      <c r="S362" s="2039"/>
      <c r="T362" s="2039"/>
      <c r="U362" s="2039"/>
      <c r="V362" s="2039"/>
      <c r="W362" s="2039"/>
      <c r="X362" s="2039"/>
      <c r="Y362" s="2039"/>
      <c r="Z362" s="2039"/>
      <c r="AA362" s="2039"/>
      <c r="AB362" s="2039"/>
      <c r="AC362" s="2039"/>
      <c r="AD362" s="2039"/>
      <c r="AE362" s="2048"/>
      <c r="AF362" s="2555"/>
      <c r="AG362" s="2551"/>
      <c r="AH362" s="2551"/>
      <c r="AI362" s="2555"/>
      <c r="AJ362" s="2551"/>
      <c r="AK362" s="2551"/>
      <c r="AL362" s="1989"/>
      <c r="AM362" s="1826"/>
      <c r="AN362" s="1826"/>
      <c r="AO362" s="1826"/>
      <c r="AP362" s="1826"/>
      <c r="AQ362" s="1826"/>
      <c r="AR362" s="1826"/>
      <c r="AS362" s="1826"/>
      <c r="AT362" s="1826"/>
      <c r="AU362" s="1826"/>
      <c r="AV362" s="1826"/>
      <c r="AW362" s="1826"/>
      <c r="AX362" s="1826"/>
      <c r="AY362" s="1826"/>
      <c r="AZ362" s="1826"/>
      <c r="BA362" s="1826"/>
      <c r="BB362" s="1826"/>
      <c r="BC362" s="1826"/>
      <c r="BD362" s="1826"/>
      <c r="BE362" s="1826"/>
      <c r="BF362" s="1826"/>
      <c r="BG362" s="1639"/>
    </row>
    <row customHeight="1" ht="12">
      <c r="A363" s="1170" t="s">
        <v>1239</v>
      </c>
      <c r="B363" s="1170"/>
      <c r="C363" s="1170"/>
      <c r="D363" s="1164"/>
      <c r="E363" s="1174"/>
      <c r="F363" s="2554"/>
      <c r="G363" s="1194"/>
      <c r="H363" s="1194"/>
      <c r="I363" s="2552" t="s">
        <v>1300</v>
      </c>
      <c r="J363" s="2552"/>
      <c r="K363" s="2552"/>
      <c r="L363" s="1177"/>
      <c r="M363" s="1177"/>
      <c r="N363" s="1178"/>
      <c r="O363" s="1178"/>
      <c r="P363" s="1178"/>
      <c r="Q363" s="1178"/>
      <c r="R363" s="1178"/>
      <c r="S363" s="1178"/>
      <c r="T363" s="1178"/>
      <c r="U363" s="1178"/>
      <c r="V363" s="1178"/>
      <c r="W363" s="1178"/>
      <c r="X363" s="1178"/>
      <c r="Y363" s="1178"/>
      <c r="Z363" s="1178"/>
      <c r="AA363" s="1178"/>
      <c r="AB363" s="1178"/>
      <c r="AC363" s="1178"/>
      <c r="AD363" s="1178"/>
      <c r="AE363" s="1178"/>
      <c r="AF363" s="1178"/>
      <c r="AG363" s="1177"/>
      <c r="AH363" s="1177"/>
      <c r="AI363" s="1178"/>
      <c r="AJ363" s="1177"/>
      <c r="AK363" s="1178"/>
      <c r="AL363" s="1989"/>
      <c r="AM363" s="1826"/>
      <c r="AN363" s="1826"/>
      <c r="AO363" s="1826"/>
      <c r="AP363" s="1826"/>
      <c r="AQ363" s="1826"/>
      <c r="AR363" s="1826"/>
      <c r="AS363" s="1826"/>
      <c r="AT363" s="1826"/>
      <c r="AU363" s="1826"/>
      <c r="AV363" s="1826"/>
      <c r="AW363" s="1826"/>
      <c r="AX363" s="1826"/>
      <c r="AY363" s="1826"/>
      <c r="AZ363" s="1826"/>
      <c r="BA363" s="1826"/>
      <c r="BB363" s="1826"/>
      <c r="BC363" s="1826"/>
      <c r="BD363" s="1826"/>
      <c r="BE363" s="1826"/>
      <c r="BF363" s="1826"/>
      <c r="BG363" s="1639"/>
    </row>
    <row customHeight="1" ht="0.75">
      <c r="A364" s="1170" t="s">
        <v>1239</v>
      </c>
      <c r="B364" s="1170"/>
      <c r="C364" s="1170"/>
      <c r="D364" s="1164"/>
      <c r="E364" s="1174"/>
      <c r="F364" s="2553">
        <v>2026</v>
      </c>
      <c r="G364" s="2532"/>
      <c r="H364" s="2557" t="s">
        <v>514</v>
      </c>
      <c r="I364" s="2558"/>
      <c r="J364" s="2559"/>
      <c r="K364" s="2559"/>
      <c r="L364" s="2551"/>
      <c r="M364" s="2285"/>
      <c r="N364" s="2037"/>
      <c r="O364" s="2036"/>
      <c r="P364" s="2037"/>
      <c r="Q364" s="2037"/>
      <c r="R364" s="2037"/>
      <c r="S364" s="2037"/>
      <c r="T364" s="2037"/>
      <c r="U364" s="2037"/>
      <c r="V364" s="2037"/>
      <c r="W364" s="2037"/>
      <c r="X364" s="2037"/>
      <c r="Y364" s="2037"/>
      <c r="Z364" s="2037"/>
      <c r="AA364" s="2037"/>
      <c r="AB364" s="2037"/>
      <c r="AC364" s="2037"/>
      <c r="AD364" s="2037"/>
      <c r="AE364" s="2037"/>
      <c r="AF364" s="2555"/>
      <c r="AG364" s="2551"/>
      <c r="AH364" s="2551"/>
      <c r="AI364" s="2555"/>
      <c r="AJ364" s="2551"/>
      <c r="AK364" s="2551"/>
      <c r="AL364" s="1989"/>
      <c r="AM364" s="1826"/>
      <c r="AN364" s="1826"/>
      <c r="AO364" s="1826"/>
      <c r="AP364" s="1826"/>
      <c r="AQ364" s="1826"/>
      <c r="AR364" s="1826"/>
      <c r="AS364" s="1826"/>
      <c r="AT364" s="1826"/>
      <c r="AU364" s="1826"/>
      <c r="AV364" s="1826"/>
      <c r="AW364" s="1826"/>
      <c r="AX364" s="1826"/>
      <c r="AY364" s="1826"/>
      <c r="AZ364" s="1826"/>
      <c r="BA364" s="1826"/>
      <c r="BB364" s="1826"/>
      <c r="BC364" s="1826"/>
      <c r="BD364" s="1826"/>
      <c r="BE364" s="1826"/>
      <c r="BF364" s="1826"/>
      <c r="BG364" s="1639"/>
    </row>
    <row customHeight="1" ht="0.75">
      <c r="A365" s="1170" t="s">
        <v>1239</v>
      </c>
      <c r="B365" s="1170"/>
      <c r="C365" s="1170"/>
      <c r="D365" s="1164"/>
      <c r="E365" s="1174"/>
      <c r="F365" s="2553"/>
      <c r="G365" s="2532"/>
      <c r="H365" s="2557"/>
      <c r="I365" s="2558"/>
      <c r="J365" s="2559"/>
      <c r="K365" s="2559"/>
      <c r="L365" s="2551"/>
      <c r="M365" s="2285"/>
      <c r="N365" s="2560"/>
      <c r="O365" s="2561"/>
      <c r="P365" s="2605"/>
      <c r="Q365" s="2556"/>
      <c r="R365" s="2556"/>
      <c r="S365" s="2556"/>
      <c r="T365" s="2556"/>
      <c r="U365" s="2556"/>
      <c r="V365" s="2556"/>
      <c r="W365" s="2556"/>
      <c r="X365" s="2556"/>
      <c r="Y365" s="2556"/>
      <c r="Z365" s="2038"/>
      <c r="AA365" s="2039"/>
      <c r="AB365" s="2039"/>
      <c r="AC365" s="2040"/>
      <c r="AD365" s="2040"/>
      <c r="AE365" s="2041"/>
      <c r="AF365" s="2555"/>
      <c r="AG365" s="2551"/>
      <c r="AH365" s="2551"/>
      <c r="AI365" s="2555"/>
      <c r="AJ365" s="2551"/>
      <c r="AK365" s="2551"/>
      <c r="AL365" s="1989"/>
      <c r="AM365" s="1826"/>
      <c r="AN365" s="1826"/>
      <c r="AO365" s="1826"/>
      <c r="AP365" s="1826"/>
      <c r="AQ365" s="1826"/>
      <c r="AR365" s="1826"/>
      <c r="AS365" s="1826"/>
      <c r="AT365" s="1826"/>
      <c r="AU365" s="1826"/>
      <c r="AV365" s="1826"/>
      <c r="AW365" s="1826"/>
      <c r="AX365" s="1826"/>
      <c r="AY365" s="1826"/>
      <c r="AZ365" s="1826"/>
      <c r="BA365" s="1826"/>
      <c r="BB365" s="1826"/>
      <c r="BC365" s="1826"/>
      <c r="BD365" s="1826"/>
      <c r="BE365" s="1826"/>
      <c r="BF365" s="1826"/>
      <c r="BG365" s="1639"/>
    </row>
    <row customHeight="1" ht="0.75">
      <c r="A366" s="1170" t="s">
        <v>1239</v>
      </c>
      <c r="B366" s="1170"/>
      <c r="C366" s="1170"/>
      <c r="D366" s="1164"/>
      <c r="E366" s="1174"/>
      <c r="F366" s="2553"/>
      <c r="G366" s="2532"/>
      <c r="H366" s="2557"/>
      <c r="I366" s="2558"/>
      <c r="J366" s="2559"/>
      <c r="K366" s="2559"/>
      <c r="L366" s="2551"/>
      <c r="M366" s="2285"/>
      <c r="N366" s="2560"/>
      <c r="O366" s="2561"/>
      <c r="P366" s="2606"/>
      <c r="Q366" s="2556"/>
      <c r="R366" s="2556"/>
      <c r="S366" s="2556"/>
      <c r="T366" s="2556"/>
      <c r="U366" s="2556"/>
      <c r="V366" s="2556"/>
      <c r="W366" s="2556"/>
      <c r="X366" s="2556"/>
      <c r="Y366" s="2556"/>
      <c r="Z366" s="2042"/>
      <c r="AA366" s="2043"/>
      <c r="AB366" s="2044"/>
      <c r="AC366" s="2045"/>
      <c r="AD366" s="2044"/>
      <c r="AE366" s="2045"/>
      <c r="AF366" s="2555"/>
      <c r="AG366" s="2551"/>
      <c r="AH366" s="2551"/>
      <c r="AI366" s="2555"/>
      <c r="AJ366" s="2551"/>
      <c r="AK366" s="2551"/>
      <c r="AL366" s="1989"/>
      <c r="AM366" s="1826"/>
      <c r="AN366" s="1826"/>
      <c r="AO366" s="1826"/>
      <c r="AP366" s="1826"/>
      <c r="AQ366" s="1826"/>
      <c r="AR366" s="1826"/>
      <c r="AS366" s="1826"/>
      <c r="AT366" s="1826"/>
      <c r="AU366" s="1826"/>
      <c r="AV366" s="1826"/>
      <c r="AW366" s="1826"/>
      <c r="AX366" s="1826"/>
      <c r="AY366" s="1826"/>
      <c r="AZ366" s="1826"/>
      <c r="BA366" s="1826"/>
      <c r="BB366" s="1826"/>
      <c r="BC366" s="1826"/>
      <c r="BD366" s="1826"/>
      <c r="BE366" s="1826"/>
      <c r="BF366" s="1826"/>
      <c r="BG366" s="1639"/>
    </row>
    <row customHeight="1" ht="0.75">
      <c r="A367" s="1170" t="s">
        <v>1239</v>
      </c>
      <c r="B367" s="1170"/>
      <c r="C367" s="1170"/>
      <c r="D367" s="1164"/>
      <c r="E367" s="1174"/>
      <c r="F367" s="2553"/>
      <c r="G367" s="2532"/>
      <c r="H367" s="2557"/>
      <c r="I367" s="2558"/>
      <c r="J367" s="2559"/>
      <c r="K367" s="2559"/>
      <c r="L367" s="2551"/>
      <c r="M367" s="2285"/>
      <c r="N367" s="2560"/>
      <c r="O367" s="2561"/>
      <c r="P367" s="2607"/>
      <c r="Q367" s="2556"/>
      <c r="R367" s="2556"/>
      <c r="S367" s="2556"/>
      <c r="T367" s="2556"/>
      <c r="U367" s="2556"/>
      <c r="V367" s="2556"/>
      <c r="W367" s="2556"/>
      <c r="X367" s="2556"/>
      <c r="Y367" s="2556"/>
      <c r="Z367" s="2038"/>
      <c r="AA367" s="2039"/>
      <c r="AB367" s="2046"/>
      <c r="AC367" s="2040"/>
      <c r="AD367" s="2040"/>
      <c r="AE367" s="2047"/>
      <c r="AF367" s="2555"/>
      <c r="AG367" s="2551"/>
      <c r="AH367" s="2551"/>
      <c r="AI367" s="2555"/>
      <c r="AJ367" s="2551"/>
      <c r="AK367" s="2551"/>
      <c r="AL367" s="1989"/>
      <c r="AM367" s="1826"/>
      <c r="AN367" s="1826"/>
      <c r="AO367" s="1826"/>
      <c r="AP367" s="1826"/>
      <c r="AQ367" s="1826"/>
      <c r="AR367" s="1826"/>
      <c r="AS367" s="1826"/>
      <c r="AT367" s="1826"/>
      <c r="AU367" s="1826"/>
      <c r="AV367" s="1826"/>
      <c r="AW367" s="1826"/>
      <c r="AX367" s="1826"/>
      <c r="AY367" s="1826"/>
      <c r="AZ367" s="1826"/>
      <c r="BA367" s="1826"/>
      <c r="BB367" s="1826"/>
      <c r="BC367" s="1826"/>
      <c r="BD367" s="1826"/>
      <c r="BE367" s="1826"/>
      <c r="BF367" s="1826"/>
      <c r="BG367" s="1639"/>
    </row>
    <row customHeight="1" ht="0.75">
      <c r="A368" s="1170" t="s">
        <v>1239</v>
      </c>
      <c r="B368" s="1170"/>
      <c r="C368" s="1170"/>
      <c r="D368" s="1164"/>
      <c r="E368" s="1174"/>
      <c r="F368" s="2553"/>
      <c r="G368" s="2532"/>
      <c r="H368" s="2557"/>
      <c r="I368" s="2558"/>
      <c r="J368" s="2559"/>
      <c r="K368" s="2559"/>
      <c r="L368" s="2551"/>
      <c r="M368" s="2285"/>
      <c r="N368" s="2039"/>
      <c r="O368" s="2039"/>
      <c r="P368" s="2046"/>
      <c r="Q368" s="2039"/>
      <c r="R368" s="2039"/>
      <c r="S368" s="2039"/>
      <c r="T368" s="2039"/>
      <c r="U368" s="2039"/>
      <c r="V368" s="2039"/>
      <c r="W368" s="2039"/>
      <c r="X368" s="2039"/>
      <c r="Y368" s="2039"/>
      <c r="Z368" s="2039"/>
      <c r="AA368" s="2039"/>
      <c r="AB368" s="2039"/>
      <c r="AC368" s="2039"/>
      <c r="AD368" s="2039"/>
      <c r="AE368" s="2048"/>
      <c r="AF368" s="2555"/>
      <c r="AG368" s="2551"/>
      <c r="AH368" s="2551"/>
      <c r="AI368" s="2555"/>
      <c r="AJ368" s="2551"/>
      <c r="AK368" s="2551"/>
      <c r="AL368" s="1989"/>
      <c r="AM368" s="1826"/>
      <c r="AN368" s="1826"/>
      <c r="AO368" s="1826"/>
      <c r="AP368" s="1826"/>
      <c r="AQ368" s="1826"/>
      <c r="AR368" s="1826"/>
      <c r="AS368" s="1826"/>
      <c r="AT368" s="1826"/>
      <c r="AU368" s="1826"/>
      <c r="AV368" s="1826"/>
      <c r="AW368" s="1826"/>
      <c r="AX368" s="1826"/>
      <c r="AY368" s="1826"/>
      <c r="AZ368" s="1826"/>
      <c r="BA368" s="1826"/>
      <c r="BB368" s="1826"/>
      <c r="BC368" s="1826"/>
      <c r="BD368" s="1826"/>
      <c r="BE368" s="1826"/>
      <c r="BF368" s="1826"/>
      <c r="BG368" s="1639"/>
    </row>
    <row customHeight="1" ht="12">
      <c r="A369" s="1170" t="s">
        <v>1239</v>
      </c>
      <c r="B369" s="1170"/>
      <c r="C369" s="1170"/>
      <c r="D369" s="1164"/>
      <c r="E369" s="1174"/>
      <c r="F369" s="2554"/>
      <c r="G369" s="1194"/>
      <c r="H369" s="1194"/>
      <c r="I369" s="2552" t="s">
        <v>1300</v>
      </c>
      <c r="J369" s="2552"/>
      <c r="K369" s="2552"/>
      <c r="L369" s="1177"/>
      <c r="M369" s="1177"/>
      <c r="N369" s="1178"/>
      <c r="O369" s="1178"/>
      <c r="P369" s="1178"/>
      <c r="Q369" s="1178"/>
      <c r="R369" s="1178"/>
      <c r="S369" s="1178"/>
      <c r="T369" s="1178"/>
      <c r="U369" s="1178"/>
      <c r="V369" s="1178"/>
      <c r="W369" s="1178"/>
      <c r="X369" s="1178"/>
      <c r="Y369" s="1178"/>
      <c r="Z369" s="1178"/>
      <c r="AA369" s="1178"/>
      <c r="AB369" s="1178"/>
      <c r="AC369" s="1178"/>
      <c r="AD369" s="1178"/>
      <c r="AE369" s="1178"/>
      <c r="AF369" s="1178"/>
      <c r="AG369" s="1177"/>
      <c r="AH369" s="1177"/>
      <c r="AI369" s="1178"/>
      <c r="AJ369" s="1177"/>
      <c r="AK369" s="1178"/>
      <c r="AL369" s="1989"/>
      <c r="AM369" s="1826"/>
      <c r="AN369" s="1826"/>
      <c r="AO369" s="1826"/>
      <c r="AP369" s="1826"/>
      <c r="AQ369" s="1826"/>
      <c r="AR369" s="1826"/>
      <c r="AS369" s="1826"/>
      <c r="AT369" s="1826"/>
      <c r="AU369" s="1826"/>
      <c r="AV369" s="1826"/>
      <c r="AW369" s="1826"/>
      <c r="AX369" s="1826"/>
      <c r="AY369" s="1826"/>
      <c r="AZ369" s="1826"/>
      <c r="BA369" s="1826"/>
      <c r="BB369" s="1826"/>
      <c r="BC369" s="1826"/>
      <c r="BD369" s="1826"/>
      <c r="BE369" s="1826"/>
      <c r="BF369" s="1826"/>
      <c r="BG369" s="1639"/>
    </row>
    <row customHeight="1" ht="0.75">
      <c r="A370" s="1170" t="s">
        <v>1239</v>
      </c>
      <c r="B370" s="1170"/>
      <c r="C370" s="1170"/>
      <c r="D370" s="1164"/>
      <c r="E370" s="1174"/>
      <c r="F370" s="2553">
        <v>2027</v>
      </c>
      <c r="G370" s="2532"/>
      <c r="H370" s="2557" t="s">
        <v>514</v>
      </c>
      <c r="I370" s="2558"/>
      <c r="J370" s="2559"/>
      <c r="K370" s="2559"/>
      <c r="L370" s="2551"/>
      <c r="M370" s="2285"/>
      <c r="N370" s="2037"/>
      <c r="O370" s="2036"/>
      <c r="P370" s="2037"/>
      <c r="Q370" s="2037"/>
      <c r="R370" s="2037"/>
      <c r="S370" s="2037"/>
      <c r="T370" s="2037"/>
      <c r="U370" s="2037"/>
      <c r="V370" s="2037"/>
      <c r="W370" s="2037"/>
      <c r="X370" s="2037"/>
      <c r="Y370" s="2037"/>
      <c r="Z370" s="2037"/>
      <c r="AA370" s="2037"/>
      <c r="AB370" s="2037"/>
      <c r="AC370" s="2037"/>
      <c r="AD370" s="2037"/>
      <c r="AE370" s="2037"/>
      <c r="AF370" s="2555"/>
      <c r="AG370" s="2551"/>
      <c r="AH370" s="2551"/>
      <c r="AI370" s="2555"/>
      <c r="AJ370" s="2551"/>
      <c r="AK370" s="2551"/>
      <c r="AL370" s="1989"/>
      <c r="AM370" s="1826"/>
      <c r="AN370" s="1826"/>
      <c r="AO370" s="1826"/>
      <c r="AP370" s="1826"/>
      <c r="AQ370" s="1826"/>
      <c r="AR370" s="1826"/>
      <c r="AS370" s="1826"/>
      <c r="AT370" s="1826"/>
      <c r="AU370" s="1826"/>
      <c r="AV370" s="1826"/>
      <c r="AW370" s="1826"/>
      <c r="AX370" s="1826"/>
      <c r="AY370" s="1826"/>
      <c r="AZ370" s="1826"/>
      <c r="BA370" s="1826"/>
      <c r="BB370" s="1826"/>
      <c r="BC370" s="1826"/>
      <c r="BD370" s="1826"/>
      <c r="BE370" s="1826"/>
      <c r="BF370" s="1826"/>
      <c r="BG370" s="1639"/>
    </row>
    <row customHeight="1" ht="0.75">
      <c r="A371" s="1170" t="s">
        <v>1239</v>
      </c>
      <c r="B371" s="1170"/>
      <c r="C371" s="1170"/>
      <c r="D371" s="1164"/>
      <c r="E371" s="1174"/>
      <c r="F371" s="2553"/>
      <c r="G371" s="2532"/>
      <c r="H371" s="2557"/>
      <c r="I371" s="2558"/>
      <c r="J371" s="2559"/>
      <c r="K371" s="2559"/>
      <c r="L371" s="2551"/>
      <c r="M371" s="2285"/>
      <c r="N371" s="2560"/>
      <c r="O371" s="2561"/>
      <c r="P371" s="2605"/>
      <c r="Q371" s="2556"/>
      <c r="R371" s="2556"/>
      <c r="S371" s="2556"/>
      <c r="T371" s="2556"/>
      <c r="U371" s="2556"/>
      <c r="V371" s="2556"/>
      <c r="W371" s="2556"/>
      <c r="X371" s="2556"/>
      <c r="Y371" s="2556"/>
      <c r="Z371" s="2038"/>
      <c r="AA371" s="2039"/>
      <c r="AB371" s="2039"/>
      <c r="AC371" s="2040"/>
      <c r="AD371" s="2040"/>
      <c r="AE371" s="2041"/>
      <c r="AF371" s="2555"/>
      <c r="AG371" s="2551"/>
      <c r="AH371" s="2551"/>
      <c r="AI371" s="2555"/>
      <c r="AJ371" s="2551"/>
      <c r="AK371" s="2551"/>
      <c r="AL371" s="1989"/>
      <c r="AM371" s="1826"/>
      <c r="AN371" s="1826"/>
      <c r="AO371" s="1826"/>
      <c r="AP371" s="1826"/>
      <c r="AQ371" s="1826"/>
      <c r="AR371" s="1826"/>
      <c r="AS371" s="1826"/>
      <c r="AT371" s="1826"/>
      <c r="AU371" s="1826"/>
      <c r="AV371" s="1826"/>
      <c r="AW371" s="1826"/>
      <c r="AX371" s="1826"/>
      <c r="AY371" s="1826"/>
      <c r="AZ371" s="1826"/>
      <c r="BA371" s="1826"/>
      <c r="BB371" s="1826"/>
      <c r="BC371" s="1826"/>
      <c r="BD371" s="1826"/>
      <c r="BE371" s="1826"/>
      <c r="BF371" s="1826"/>
      <c r="BG371" s="1639"/>
    </row>
    <row customHeight="1" ht="0.75">
      <c r="A372" s="1170" t="s">
        <v>1239</v>
      </c>
      <c r="B372" s="1170"/>
      <c r="C372" s="1170"/>
      <c r="D372" s="1164"/>
      <c r="E372" s="1174"/>
      <c r="F372" s="2553"/>
      <c r="G372" s="2532"/>
      <c r="H372" s="2557"/>
      <c r="I372" s="2558"/>
      <c r="J372" s="2559"/>
      <c r="K372" s="2559"/>
      <c r="L372" s="2551"/>
      <c r="M372" s="2285"/>
      <c r="N372" s="2560"/>
      <c r="O372" s="2561"/>
      <c r="P372" s="2606"/>
      <c r="Q372" s="2556"/>
      <c r="R372" s="2556"/>
      <c r="S372" s="2556"/>
      <c r="T372" s="2556"/>
      <c r="U372" s="2556"/>
      <c r="V372" s="2556"/>
      <c r="W372" s="2556"/>
      <c r="X372" s="2556"/>
      <c r="Y372" s="2556"/>
      <c r="Z372" s="2042"/>
      <c r="AA372" s="2043"/>
      <c r="AB372" s="2044"/>
      <c r="AC372" s="2045"/>
      <c r="AD372" s="2044"/>
      <c r="AE372" s="2045"/>
      <c r="AF372" s="2555"/>
      <c r="AG372" s="2551"/>
      <c r="AH372" s="2551"/>
      <c r="AI372" s="2555"/>
      <c r="AJ372" s="2551"/>
      <c r="AK372" s="2551"/>
      <c r="AL372" s="1989"/>
      <c r="AM372" s="1826"/>
      <c r="AN372" s="1826"/>
      <c r="AO372" s="1826"/>
      <c r="AP372" s="1826"/>
      <c r="AQ372" s="1826"/>
      <c r="AR372" s="1826"/>
      <c r="AS372" s="1826"/>
      <c r="AT372" s="1826"/>
      <c r="AU372" s="1826"/>
      <c r="AV372" s="1826"/>
      <c r="AW372" s="1826"/>
      <c r="AX372" s="1826"/>
      <c r="AY372" s="1826"/>
      <c r="AZ372" s="1826"/>
      <c r="BA372" s="1826"/>
      <c r="BB372" s="1826"/>
      <c r="BC372" s="1826"/>
      <c r="BD372" s="1826"/>
      <c r="BE372" s="1826"/>
      <c r="BF372" s="1826"/>
      <c r="BG372" s="1639"/>
    </row>
    <row customHeight="1" ht="0.75">
      <c r="A373" s="1170" t="s">
        <v>1239</v>
      </c>
      <c r="B373" s="1170"/>
      <c r="C373" s="1170"/>
      <c r="D373" s="1164"/>
      <c r="E373" s="1174"/>
      <c r="F373" s="2553"/>
      <c r="G373" s="2532"/>
      <c r="H373" s="2557"/>
      <c r="I373" s="2558"/>
      <c r="J373" s="2559"/>
      <c r="K373" s="2559"/>
      <c r="L373" s="2551"/>
      <c r="M373" s="2285"/>
      <c r="N373" s="2560"/>
      <c r="O373" s="2561"/>
      <c r="P373" s="2607"/>
      <c r="Q373" s="2556"/>
      <c r="R373" s="2556"/>
      <c r="S373" s="2556"/>
      <c r="T373" s="2556"/>
      <c r="U373" s="2556"/>
      <c r="V373" s="2556"/>
      <c r="W373" s="2556"/>
      <c r="X373" s="2556"/>
      <c r="Y373" s="2556"/>
      <c r="Z373" s="2038"/>
      <c r="AA373" s="2039"/>
      <c r="AB373" s="2046"/>
      <c r="AC373" s="2040"/>
      <c r="AD373" s="2040"/>
      <c r="AE373" s="2047"/>
      <c r="AF373" s="2555"/>
      <c r="AG373" s="2551"/>
      <c r="AH373" s="2551"/>
      <c r="AI373" s="2555"/>
      <c r="AJ373" s="2551"/>
      <c r="AK373" s="2551"/>
      <c r="AL373" s="1989"/>
      <c r="AM373" s="1826"/>
      <c r="AN373" s="1826"/>
      <c r="AO373" s="1826"/>
      <c r="AP373" s="1826"/>
      <c r="AQ373" s="1826"/>
      <c r="AR373" s="1826"/>
      <c r="AS373" s="1826"/>
      <c r="AT373" s="1826"/>
      <c r="AU373" s="1826"/>
      <c r="AV373" s="1826"/>
      <c r="AW373" s="1826"/>
      <c r="AX373" s="1826"/>
      <c r="AY373" s="1826"/>
      <c r="AZ373" s="1826"/>
      <c r="BA373" s="1826"/>
      <c r="BB373" s="1826"/>
      <c r="BC373" s="1826"/>
      <c r="BD373" s="1826"/>
      <c r="BE373" s="1826"/>
      <c r="BF373" s="1826"/>
      <c r="BG373" s="1639"/>
    </row>
    <row customHeight="1" ht="0.75">
      <c r="A374" s="1170" t="s">
        <v>1239</v>
      </c>
      <c r="B374" s="1170"/>
      <c r="C374" s="1170"/>
      <c r="D374" s="1164"/>
      <c r="E374" s="1174"/>
      <c r="F374" s="2553"/>
      <c r="G374" s="2532"/>
      <c r="H374" s="2557"/>
      <c r="I374" s="2558"/>
      <c r="J374" s="2559"/>
      <c r="K374" s="2559"/>
      <c r="L374" s="2551"/>
      <c r="M374" s="2285"/>
      <c r="N374" s="2039"/>
      <c r="O374" s="2039"/>
      <c r="P374" s="2046"/>
      <c r="Q374" s="2039"/>
      <c r="R374" s="2039"/>
      <c r="S374" s="2039"/>
      <c r="T374" s="2039"/>
      <c r="U374" s="2039"/>
      <c r="V374" s="2039"/>
      <c r="W374" s="2039"/>
      <c r="X374" s="2039"/>
      <c r="Y374" s="2039"/>
      <c r="Z374" s="2039"/>
      <c r="AA374" s="2039"/>
      <c r="AB374" s="2039"/>
      <c r="AC374" s="2039"/>
      <c r="AD374" s="2039"/>
      <c r="AE374" s="2048"/>
      <c r="AF374" s="2555"/>
      <c r="AG374" s="2551"/>
      <c r="AH374" s="2551"/>
      <c r="AI374" s="2555"/>
      <c r="AJ374" s="2551"/>
      <c r="AK374" s="2551"/>
      <c r="AL374" s="1989"/>
      <c r="AM374" s="1826"/>
      <c r="AN374" s="1826"/>
      <c r="AO374" s="1826"/>
      <c r="AP374" s="1826"/>
      <c r="AQ374" s="1826"/>
      <c r="AR374" s="1826"/>
      <c r="AS374" s="1826"/>
      <c r="AT374" s="1826"/>
      <c r="AU374" s="1826"/>
      <c r="AV374" s="1826"/>
      <c r="AW374" s="1826"/>
      <c r="AX374" s="1826"/>
      <c r="AY374" s="1826"/>
      <c r="AZ374" s="1826"/>
      <c r="BA374" s="1826"/>
      <c r="BB374" s="1826"/>
      <c r="BC374" s="1826"/>
      <c r="BD374" s="1826"/>
      <c r="BE374" s="1826"/>
      <c r="BF374" s="1826"/>
      <c r="BG374" s="1639"/>
    </row>
    <row customHeight="1" ht="12">
      <c r="A375" s="1170" t="s">
        <v>1239</v>
      </c>
      <c r="B375" s="1170"/>
      <c r="C375" s="1170"/>
      <c r="D375" s="1164"/>
      <c r="E375" s="1174"/>
      <c r="F375" s="2554"/>
      <c r="G375" s="1194"/>
      <c r="H375" s="1194"/>
      <c r="I375" s="2552" t="s">
        <v>1300</v>
      </c>
      <c r="J375" s="2552"/>
      <c r="K375" s="2552"/>
      <c r="L375" s="1177"/>
      <c r="M375" s="1177"/>
      <c r="N375" s="1178"/>
      <c r="O375" s="1178"/>
      <c r="P375" s="1178"/>
      <c r="Q375" s="1178"/>
      <c r="R375" s="1178"/>
      <c r="S375" s="1178"/>
      <c r="T375" s="1178"/>
      <c r="U375" s="1178"/>
      <c r="V375" s="1178"/>
      <c r="W375" s="1178"/>
      <c r="X375" s="1178"/>
      <c r="Y375" s="1178"/>
      <c r="Z375" s="1178"/>
      <c r="AA375" s="1178"/>
      <c r="AB375" s="1178"/>
      <c r="AC375" s="1178"/>
      <c r="AD375" s="1178"/>
      <c r="AE375" s="1178"/>
      <c r="AF375" s="1178"/>
      <c r="AG375" s="1177"/>
      <c r="AH375" s="1177"/>
      <c r="AI375" s="1178"/>
      <c r="AJ375" s="1177"/>
      <c r="AK375" s="1178"/>
      <c r="AL375" s="1989"/>
      <c r="AM375" s="1826"/>
      <c r="AN375" s="1826"/>
      <c r="AO375" s="1826"/>
      <c r="AP375" s="1826"/>
      <c r="AQ375" s="1826"/>
      <c r="AR375" s="1826"/>
      <c r="AS375" s="1826"/>
      <c r="AT375" s="1826"/>
      <c r="AU375" s="1826"/>
      <c r="AV375" s="1826"/>
      <c r="AW375" s="1826"/>
      <c r="AX375" s="1826"/>
      <c r="AY375" s="1826"/>
      <c r="AZ375" s="1826"/>
      <c r="BA375" s="1826"/>
      <c r="BB375" s="1826"/>
      <c r="BC375" s="1826"/>
      <c r="BD375" s="1826"/>
      <c r="BE375" s="1826"/>
      <c r="BF375" s="1826"/>
      <c r="BG375" s="1639"/>
    </row>
    <row customHeight="1" ht="0.75">
      <c r="A376" s="1170" t="s">
        <v>1239</v>
      </c>
      <c r="B376" s="1170"/>
      <c r="C376" s="1170"/>
      <c r="D376" s="1164"/>
      <c r="E376" s="1174"/>
      <c r="F376" s="2553">
        <v>2028</v>
      </c>
      <c r="G376" s="2532"/>
      <c r="H376" s="2557" t="s">
        <v>514</v>
      </c>
      <c r="I376" s="2558"/>
      <c r="J376" s="2559"/>
      <c r="K376" s="2559"/>
      <c r="L376" s="2551"/>
      <c r="M376" s="2285"/>
      <c r="N376" s="2037"/>
      <c r="O376" s="2036"/>
      <c r="P376" s="2037"/>
      <c r="Q376" s="2037"/>
      <c r="R376" s="2037"/>
      <c r="S376" s="2037"/>
      <c r="T376" s="2037"/>
      <c r="U376" s="2037"/>
      <c r="V376" s="2037"/>
      <c r="W376" s="2037"/>
      <c r="X376" s="2037"/>
      <c r="Y376" s="2037"/>
      <c r="Z376" s="2037"/>
      <c r="AA376" s="2037"/>
      <c r="AB376" s="2037"/>
      <c r="AC376" s="2037"/>
      <c r="AD376" s="2037"/>
      <c r="AE376" s="2037"/>
      <c r="AF376" s="2555"/>
      <c r="AG376" s="2551"/>
      <c r="AH376" s="2551"/>
      <c r="AI376" s="2555"/>
      <c r="AJ376" s="2551"/>
      <c r="AK376" s="2551"/>
      <c r="AL376" s="1989"/>
      <c r="AM376" s="1826"/>
      <c r="AN376" s="1826"/>
      <c r="AO376" s="1826"/>
      <c r="AP376" s="1826"/>
      <c r="AQ376" s="1826"/>
      <c r="AR376" s="1826"/>
      <c r="AS376" s="1826"/>
      <c r="AT376" s="1826"/>
      <c r="AU376" s="1826"/>
      <c r="AV376" s="1826"/>
      <c r="AW376" s="1826"/>
      <c r="AX376" s="1826"/>
      <c r="AY376" s="1826"/>
      <c r="AZ376" s="1826"/>
      <c r="BA376" s="1826"/>
      <c r="BB376" s="1826"/>
      <c r="BC376" s="1826"/>
      <c r="BD376" s="1826"/>
      <c r="BE376" s="1826"/>
      <c r="BF376" s="1826"/>
      <c r="BG376" s="1639"/>
    </row>
    <row customHeight="1" ht="0.75">
      <c r="A377" s="1170" t="s">
        <v>1239</v>
      </c>
      <c r="B377" s="1170"/>
      <c r="C377" s="1170"/>
      <c r="D377" s="1164"/>
      <c r="E377" s="1174"/>
      <c r="F377" s="2553"/>
      <c r="G377" s="2532"/>
      <c r="H377" s="2557"/>
      <c r="I377" s="2558"/>
      <c r="J377" s="2559"/>
      <c r="K377" s="2559"/>
      <c r="L377" s="2551"/>
      <c r="M377" s="2285"/>
      <c r="N377" s="2560"/>
      <c r="O377" s="2561"/>
      <c r="P377" s="2605"/>
      <c r="Q377" s="2556"/>
      <c r="R377" s="2556"/>
      <c r="S377" s="2556"/>
      <c r="T377" s="2556"/>
      <c r="U377" s="2556"/>
      <c r="V377" s="2556"/>
      <c r="W377" s="2556"/>
      <c r="X377" s="2556"/>
      <c r="Y377" s="2556"/>
      <c r="Z377" s="2038"/>
      <c r="AA377" s="2039"/>
      <c r="AB377" s="2039"/>
      <c r="AC377" s="2040"/>
      <c r="AD377" s="2040"/>
      <c r="AE377" s="2041"/>
      <c r="AF377" s="2555"/>
      <c r="AG377" s="2551"/>
      <c r="AH377" s="2551"/>
      <c r="AI377" s="2555"/>
      <c r="AJ377" s="2551"/>
      <c r="AK377" s="2551"/>
      <c r="AL377" s="1989"/>
      <c r="AM377" s="1826"/>
      <c r="AN377" s="1826"/>
      <c r="AO377" s="1826"/>
      <c r="AP377" s="1826"/>
      <c r="AQ377" s="1826"/>
      <c r="AR377" s="1826"/>
      <c r="AS377" s="1826"/>
      <c r="AT377" s="1826"/>
      <c r="AU377" s="1826"/>
      <c r="AV377" s="1826"/>
      <c r="AW377" s="1826"/>
      <c r="AX377" s="1826"/>
      <c r="AY377" s="1826"/>
      <c r="AZ377" s="1826"/>
      <c r="BA377" s="1826"/>
      <c r="BB377" s="1826"/>
      <c r="BC377" s="1826"/>
      <c r="BD377" s="1826"/>
      <c r="BE377" s="1826"/>
      <c r="BF377" s="1826"/>
      <c r="BG377" s="1639"/>
    </row>
    <row customHeight="1" ht="0.75">
      <c r="A378" s="1170" t="s">
        <v>1239</v>
      </c>
      <c r="B378" s="1170"/>
      <c r="C378" s="1170"/>
      <c r="D378" s="1164"/>
      <c r="E378" s="1174"/>
      <c r="F378" s="2553"/>
      <c r="G378" s="2532"/>
      <c r="H378" s="2557"/>
      <c r="I378" s="2558"/>
      <c r="J378" s="2559"/>
      <c r="K378" s="2559"/>
      <c r="L378" s="2551"/>
      <c r="M378" s="2285"/>
      <c r="N378" s="2560"/>
      <c r="O378" s="2561"/>
      <c r="P378" s="2606"/>
      <c r="Q378" s="2556"/>
      <c r="R378" s="2556"/>
      <c r="S378" s="2556"/>
      <c r="T378" s="2556"/>
      <c r="U378" s="2556"/>
      <c r="V378" s="2556"/>
      <c r="W378" s="2556"/>
      <c r="X378" s="2556"/>
      <c r="Y378" s="2556"/>
      <c r="Z378" s="2042"/>
      <c r="AA378" s="2043"/>
      <c r="AB378" s="2044"/>
      <c r="AC378" s="2045"/>
      <c r="AD378" s="2044"/>
      <c r="AE378" s="2045"/>
      <c r="AF378" s="2555"/>
      <c r="AG378" s="2551"/>
      <c r="AH378" s="2551"/>
      <c r="AI378" s="2555"/>
      <c r="AJ378" s="2551"/>
      <c r="AK378" s="2551"/>
      <c r="AL378" s="1989"/>
      <c r="AM378" s="1826"/>
      <c r="AN378" s="1826"/>
      <c r="AO378" s="1826"/>
      <c r="AP378" s="1826"/>
      <c r="AQ378" s="1826"/>
      <c r="AR378" s="1826"/>
      <c r="AS378" s="1826"/>
      <c r="AT378" s="1826"/>
      <c r="AU378" s="1826"/>
      <c r="AV378" s="1826"/>
      <c r="AW378" s="1826"/>
      <c r="AX378" s="1826"/>
      <c r="AY378" s="1826"/>
      <c r="AZ378" s="1826"/>
      <c r="BA378" s="1826"/>
      <c r="BB378" s="1826"/>
      <c r="BC378" s="1826"/>
      <c r="BD378" s="1826"/>
      <c r="BE378" s="1826"/>
      <c r="BF378" s="1826"/>
      <c r="BG378" s="1639"/>
    </row>
    <row customHeight="1" ht="0.75">
      <c r="A379" s="1170" t="s">
        <v>1239</v>
      </c>
      <c r="B379" s="1170"/>
      <c r="C379" s="1170"/>
      <c r="D379" s="1164"/>
      <c r="E379" s="1174"/>
      <c r="F379" s="2553"/>
      <c r="G379" s="2532"/>
      <c r="H379" s="2557"/>
      <c r="I379" s="2558"/>
      <c r="J379" s="2559"/>
      <c r="K379" s="2559"/>
      <c r="L379" s="2551"/>
      <c r="M379" s="2285"/>
      <c r="N379" s="2560"/>
      <c r="O379" s="2561"/>
      <c r="P379" s="2607"/>
      <c r="Q379" s="2556"/>
      <c r="R379" s="2556"/>
      <c r="S379" s="2556"/>
      <c r="T379" s="2556"/>
      <c r="U379" s="2556"/>
      <c r="V379" s="2556"/>
      <c r="W379" s="2556"/>
      <c r="X379" s="2556"/>
      <c r="Y379" s="2556"/>
      <c r="Z379" s="2038"/>
      <c r="AA379" s="2039"/>
      <c r="AB379" s="2046"/>
      <c r="AC379" s="2040"/>
      <c r="AD379" s="2040"/>
      <c r="AE379" s="2047"/>
      <c r="AF379" s="2555"/>
      <c r="AG379" s="2551"/>
      <c r="AH379" s="2551"/>
      <c r="AI379" s="2555"/>
      <c r="AJ379" s="2551"/>
      <c r="AK379" s="2551"/>
      <c r="AL379" s="1989"/>
      <c r="AM379" s="1826"/>
      <c r="AN379" s="1826"/>
      <c r="AO379" s="1826"/>
      <c r="AP379" s="1826"/>
      <c r="AQ379" s="1826"/>
      <c r="AR379" s="1826"/>
      <c r="AS379" s="1826"/>
      <c r="AT379" s="1826"/>
      <c r="AU379" s="1826"/>
      <c r="AV379" s="1826"/>
      <c r="AW379" s="1826"/>
      <c r="AX379" s="1826"/>
      <c r="AY379" s="1826"/>
      <c r="AZ379" s="1826"/>
      <c r="BA379" s="1826"/>
      <c r="BB379" s="1826"/>
      <c r="BC379" s="1826"/>
      <c r="BD379" s="1826"/>
      <c r="BE379" s="1826"/>
      <c r="BF379" s="1826"/>
      <c r="BG379" s="1639"/>
    </row>
    <row customHeight="1" ht="0.75">
      <c r="A380" s="1170" t="s">
        <v>1239</v>
      </c>
      <c r="B380" s="1170"/>
      <c r="C380" s="1170"/>
      <c r="D380" s="1164"/>
      <c r="E380" s="1174"/>
      <c r="F380" s="2553"/>
      <c r="G380" s="2532"/>
      <c r="H380" s="2557"/>
      <c r="I380" s="2558"/>
      <c r="J380" s="2559"/>
      <c r="K380" s="2559"/>
      <c r="L380" s="2551"/>
      <c r="M380" s="2285"/>
      <c r="N380" s="2039"/>
      <c r="O380" s="2039"/>
      <c r="P380" s="2046"/>
      <c r="Q380" s="2039"/>
      <c r="R380" s="2039"/>
      <c r="S380" s="2039"/>
      <c r="T380" s="2039"/>
      <c r="U380" s="2039"/>
      <c r="V380" s="2039"/>
      <c r="W380" s="2039"/>
      <c r="X380" s="2039"/>
      <c r="Y380" s="2039"/>
      <c r="Z380" s="2039"/>
      <c r="AA380" s="2039"/>
      <c r="AB380" s="2039"/>
      <c r="AC380" s="2039"/>
      <c r="AD380" s="2039"/>
      <c r="AE380" s="2048"/>
      <c r="AF380" s="2555"/>
      <c r="AG380" s="2551"/>
      <c r="AH380" s="2551"/>
      <c r="AI380" s="2555"/>
      <c r="AJ380" s="2551"/>
      <c r="AK380" s="2551"/>
      <c r="AL380" s="1989"/>
      <c r="AM380" s="1826"/>
      <c r="AN380" s="1826"/>
      <c r="AO380" s="1826"/>
      <c r="AP380" s="1826"/>
      <c r="AQ380" s="1826"/>
      <c r="AR380" s="1826"/>
      <c r="AS380" s="1826"/>
      <c r="AT380" s="1826"/>
      <c r="AU380" s="1826"/>
      <c r="AV380" s="1826"/>
      <c r="AW380" s="1826"/>
      <c r="AX380" s="1826"/>
      <c r="AY380" s="1826"/>
      <c r="AZ380" s="1826"/>
      <c r="BA380" s="1826"/>
      <c r="BB380" s="1826"/>
      <c r="BC380" s="1826"/>
      <c r="BD380" s="1826"/>
      <c r="BE380" s="1826"/>
      <c r="BF380" s="1826"/>
      <c r="BG380" s="1639"/>
    </row>
    <row customHeight="1" ht="12">
      <c r="A381" s="1170" t="s">
        <v>1239</v>
      </c>
      <c r="B381" s="1170"/>
      <c r="C381" s="1170"/>
      <c r="D381" s="1164"/>
      <c r="E381" s="1174"/>
      <c r="F381" s="2554"/>
      <c r="G381" s="1194"/>
      <c r="H381" s="1194"/>
      <c r="I381" s="2552" t="s">
        <v>1300</v>
      </c>
      <c r="J381" s="2552"/>
      <c r="K381" s="2552"/>
      <c r="L381" s="1177"/>
      <c r="M381" s="1177"/>
      <c r="N381" s="1178"/>
      <c r="O381" s="1178"/>
      <c r="P381" s="1178"/>
      <c r="Q381" s="1178"/>
      <c r="R381" s="1178"/>
      <c r="S381" s="1178"/>
      <c r="T381" s="1178"/>
      <c r="U381" s="1178"/>
      <c r="V381" s="1178"/>
      <c r="W381" s="1178"/>
      <c r="X381" s="1178"/>
      <c r="Y381" s="1178"/>
      <c r="Z381" s="1178"/>
      <c r="AA381" s="1178"/>
      <c r="AB381" s="1178"/>
      <c r="AC381" s="1178"/>
      <c r="AD381" s="1178"/>
      <c r="AE381" s="1178"/>
      <c r="AF381" s="1178"/>
      <c r="AG381" s="1177"/>
      <c r="AH381" s="1177"/>
      <c r="AI381" s="1178"/>
      <c r="AJ381" s="1177"/>
      <c r="AK381" s="1178"/>
      <c r="AL381" s="1989"/>
      <c r="AM381" s="1826"/>
      <c r="AN381" s="1826"/>
      <c r="AO381" s="1826"/>
      <c r="AP381" s="1826"/>
      <c r="AQ381" s="1826"/>
      <c r="AR381" s="1826"/>
      <c r="AS381" s="1826"/>
      <c r="AT381" s="1826"/>
      <c r="AU381" s="1826"/>
      <c r="AV381" s="1826"/>
      <c r="AW381" s="1826"/>
      <c r="AX381" s="1826"/>
      <c r="AY381" s="1826"/>
      <c r="AZ381" s="1826"/>
      <c r="BA381" s="1826"/>
      <c r="BB381" s="1826"/>
      <c r="BC381" s="1826"/>
      <c r="BD381" s="1826"/>
      <c r="BE381" s="1826"/>
      <c r="BF381" s="1826"/>
      <c r="BG381" s="1639"/>
    </row>
    <row customHeight="1" ht="21">
      <c r="A382" s="1171" t="s">
        <v>1246</v>
      </c>
      <c r="B382" s="1170"/>
      <c r="C382" s="1170"/>
      <c r="D382" s="1164"/>
      <c r="E382" s="1174" t="s">
        <v>22</v>
      </c>
      <c r="F382" s="1126" t="str">
        <f>INDEX(IP_MAIN_LIST_NAME_IP,MATCH(A382,IP_MAIN_LIST_IP_ID,0))&amp;" ("&amp;INDEX(IP_MAIN_START_DATE,MATCH(A382,IP_MAIN_LIST_IP_ID,0))&amp;"-"&amp;INDEX(IP_MAIN_END_DATE,MATCH(A382,IP_MAIN_LIST_IP_ID,0))&amp;")"</f>
        <v>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 (01.01.2021-31.12.2029)</v>
      </c>
      <c r="G382" s="1127"/>
      <c r="H382" s="1127"/>
      <c r="I382" s="1189"/>
      <c r="J382" s="1189"/>
      <c r="K382" s="1190"/>
      <c r="L382" s="1190"/>
      <c r="M382" s="1190"/>
      <c r="N382" s="1191"/>
      <c r="O382" s="1191"/>
      <c r="P382" s="1191"/>
      <c r="Q382" s="1191"/>
      <c r="R382" s="1191"/>
      <c r="S382" s="1191"/>
      <c r="T382" s="1191"/>
      <c r="U382" s="1191"/>
      <c r="V382" s="1191"/>
      <c r="W382" s="1191"/>
      <c r="X382" s="1191"/>
      <c r="Y382" s="1191"/>
      <c r="Z382" s="1191"/>
      <c r="AA382" s="1191"/>
      <c r="AB382" s="1191"/>
      <c r="AC382" s="1191"/>
      <c r="AD382" s="1191"/>
      <c r="AE382" s="1192"/>
      <c r="AF382" s="1190"/>
      <c r="AG382" s="1190"/>
      <c r="AH382" s="1190"/>
      <c r="AI382" s="1190"/>
      <c r="AJ382" s="1190"/>
      <c r="AK382" s="1190"/>
      <c r="AL382" s="1989"/>
      <c r="AM382" s="1826"/>
      <c r="AN382" s="1826"/>
      <c r="AO382" s="1826"/>
      <c r="AP382" s="1826"/>
      <c r="AQ382" s="1826"/>
      <c r="AR382" s="1826"/>
      <c r="AS382" s="1826"/>
      <c r="AT382" s="1826"/>
      <c r="AU382" s="1826"/>
      <c r="AV382" s="1826"/>
      <c r="AW382" s="1826"/>
      <c r="AX382" s="1826"/>
      <c r="AY382" s="1826"/>
      <c r="AZ382" s="1826"/>
      <c r="BA382" s="1826"/>
      <c r="BB382" s="1826"/>
      <c r="BC382" s="1826"/>
      <c r="BD382" s="1826"/>
      <c r="BE382" s="1826"/>
      <c r="BF382" s="1826"/>
      <c r="BG382" s="1639"/>
    </row>
    <row customHeight="1" ht="0.75">
      <c r="A383" s="1170" t="s">
        <v>1246</v>
      </c>
      <c r="B383" s="1170"/>
      <c r="C383" s="1170"/>
      <c r="D383" s="1164"/>
      <c r="E383" s="1174"/>
      <c r="F383" s="2553">
        <v>2021</v>
      </c>
      <c r="G383" s="2532"/>
      <c r="H383" s="2557" t="s">
        <v>514</v>
      </c>
      <c r="I383" s="2558"/>
      <c r="J383" s="2559"/>
      <c r="K383" s="2559"/>
      <c r="L383" s="2551"/>
      <c r="M383" s="2285"/>
      <c r="N383" s="2037"/>
      <c r="O383" s="2036"/>
      <c r="P383" s="2037"/>
      <c r="Q383" s="2037"/>
      <c r="R383" s="2037"/>
      <c r="S383" s="2037"/>
      <c r="T383" s="2037"/>
      <c r="U383" s="2037"/>
      <c r="V383" s="2037"/>
      <c r="W383" s="2037"/>
      <c r="X383" s="2037"/>
      <c r="Y383" s="2037"/>
      <c r="Z383" s="2037"/>
      <c r="AA383" s="2037"/>
      <c r="AB383" s="2037"/>
      <c r="AC383" s="2037"/>
      <c r="AD383" s="2037"/>
      <c r="AE383" s="2037"/>
      <c r="AF383" s="2555"/>
      <c r="AG383" s="2551"/>
      <c r="AH383" s="2551"/>
      <c r="AI383" s="2555"/>
      <c r="AJ383" s="2551"/>
      <c r="AK383" s="2551"/>
      <c r="AL383" s="1989"/>
      <c r="AM383" s="1826"/>
      <c r="AN383" s="1826"/>
      <c r="AO383" s="1826"/>
      <c r="AP383" s="1826"/>
      <c r="AQ383" s="1826"/>
      <c r="AR383" s="1826"/>
      <c r="AS383" s="1826"/>
      <c r="AT383" s="1826"/>
      <c r="AU383" s="1826"/>
      <c r="AV383" s="1826"/>
      <c r="AW383" s="1826"/>
      <c r="AX383" s="1826"/>
      <c r="AY383" s="1826"/>
      <c r="AZ383" s="1826"/>
      <c r="BA383" s="1826"/>
      <c r="BB383" s="1826"/>
      <c r="BC383" s="1826"/>
      <c r="BD383" s="1826"/>
      <c r="BE383" s="1826"/>
      <c r="BF383" s="1826"/>
      <c r="BG383" s="1639"/>
    </row>
    <row customHeight="1" ht="0.75">
      <c r="A384" s="1170" t="s">
        <v>1246</v>
      </c>
      <c r="B384" s="1170"/>
      <c r="C384" s="1170"/>
      <c r="D384" s="1164"/>
      <c r="E384" s="1174"/>
      <c r="F384" s="2553"/>
      <c r="G384" s="2532"/>
      <c r="H384" s="2557"/>
      <c r="I384" s="2558"/>
      <c r="J384" s="2559"/>
      <c r="K384" s="2559"/>
      <c r="L384" s="2551"/>
      <c r="M384" s="2285"/>
      <c r="N384" s="2560"/>
      <c r="O384" s="2561"/>
      <c r="P384" s="2605"/>
      <c r="Q384" s="2556"/>
      <c r="R384" s="2556"/>
      <c r="S384" s="2556"/>
      <c r="T384" s="2556"/>
      <c r="U384" s="2556"/>
      <c r="V384" s="2556"/>
      <c r="W384" s="2556"/>
      <c r="X384" s="2556"/>
      <c r="Y384" s="2556"/>
      <c r="Z384" s="2038"/>
      <c r="AA384" s="2039"/>
      <c r="AB384" s="2039"/>
      <c r="AC384" s="2040"/>
      <c r="AD384" s="2040"/>
      <c r="AE384" s="2041"/>
      <c r="AF384" s="2555"/>
      <c r="AG384" s="2551"/>
      <c r="AH384" s="2551"/>
      <c r="AI384" s="2555"/>
      <c r="AJ384" s="2551"/>
      <c r="AK384" s="2551"/>
      <c r="AL384" s="1989"/>
      <c r="AM384" s="1826"/>
      <c r="AN384" s="1826"/>
      <c r="AO384" s="1826"/>
      <c r="AP384" s="1826"/>
      <c r="AQ384" s="1826"/>
      <c r="AR384" s="1826"/>
      <c r="AS384" s="1826"/>
      <c r="AT384" s="1826"/>
      <c r="AU384" s="1826"/>
      <c r="AV384" s="1826"/>
      <c r="AW384" s="1826"/>
      <c r="AX384" s="1826"/>
      <c r="AY384" s="1826"/>
      <c r="AZ384" s="1826"/>
      <c r="BA384" s="1826"/>
      <c r="BB384" s="1826"/>
      <c r="BC384" s="1826"/>
      <c r="BD384" s="1826"/>
      <c r="BE384" s="1826"/>
      <c r="BF384" s="1826"/>
      <c r="BG384" s="1639"/>
    </row>
    <row customHeight="1" ht="0.75">
      <c r="A385" s="1170" t="s">
        <v>1246</v>
      </c>
      <c r="B385" s="1170"/>
      <c r="C385" s="1170"/>
      <c r="D385" s="1164"/>
      <c r="E385" s="1174"/>
      <c r="F385" s="2553"/>
      <c r="G385" s="2532"/>
      <c r="H385" s="2557"/>
      <c r="I385" s="2558"/>
      <c r="J385" s="2559"/>
      <c r="K385" s="2559"/>
      <c r="L385" s="2551"/>
      <c r="M385" s="2285"/>
      <c r="N385" s="2560"/>
      <c r="O385" s="2561"/>
      <c r="P385" s="2606"/>
      <c r="Q385" s="2556"/>
      <c r="R385" s="2556"/>
      <c r="S385" s="2556"/>
      <c r="T385" s="2556"/>
      <c r="U385" s="2556"/>
      <c r="V385" s="2556"/>
      <c r="W385" s="2556"/>
      <c r="X385" s="2556"/>
      <c r="Y385" s="2556"/>
      <c r="Z385" s="2042"/>
      <c r="AA385" s="2043"/>
      <c r="AB385" s="2044"/>
      <c r="AC385" s="2045"/>
      <c r="AD385" s="2044"/>
      <c r="AE385" s="2045"/>
      <c r="AF385" s="2555"/>
      <c r="AG385" s="2551"/>
      <c r="AH385" s="2551"/>
      <c r="AI385" s="2555"/>
      <c r="AJ385" s="2551"/>
      <c r="AK385" s="2551"/>
      <c r="AL385" s="1989"/>
      <c r="AM385" s="1826"/>
      <c r="AN385" s="1826"/>
      <c r="AO385" s="1826"/>
      <c r="AP385" s="1826"/>
      <c r="AQ385" s="1826"/>
      <c r="AR385" s="1826"/>
      <c r="AS385" s="1826"/>
      <c r="AT385" s="1826"/>
      <c r="AU385" s="1826"/>
      <c r="AV385" s="1826"/>
      <c r="AW385" s="1826"/>
      <c r="AX385" s="1826"/>
      <c r="AY385" s="1826"/>
      <c r="AZ385" s="1826"/>
      <c r="BA385" s="1826"/>
      <c r="BB385" s="1826"/>
      <c r="BC385" s="1826"/>
      <c r="BD385" s="1826"/>
      <c r="BE385" s="1826"/>
      <c r="BF385" s="1826"/>
      <c r="BG385" s="1639"/>
    </row>
    <row customHeight="1" ht="0.75">
      <c r="A386" s="1170" t="s">
        <v>1246</v>
      </c>
      <c r="B386" s="1170"/>
      <c r="C386" s="1170"/>
      <c r="D386" s="1164"/>
      <c r="E386" s="1174"/>
      <c r="F386" s="2553"/>
      <c r="G386" s="2532"/>
      <c r="H386" s="2557"/>
      <c r="I386" s="2558"/>
      <c r="J386" s="2559"/>
      <c r="K386" s="2559"/>
      <c r="L386" s="2551"/>
      <c r="M386" s="2285"/>
      <c r="N386" s="2560"/>
      <c r="O386" s="2561"/>
      <c r="P386" s="2607"/>
      <c r="Q386" s="2556"/>
      <c r="R386" s="2556"/>
      <c r="S386" s="2556"/>
      <c r="T386" s="2556"/>
      <c r="U386" s="2556"/>
      <c r="V386" s="2556"/>
      <c r="W386" s="2556"/>
      <c r="X386" s="2556"/>
      <c r="Y386" s="2556"/>
      <c r="Z386" s="2038"/>
      <c r="AA386" s="2039"/>
      <c r="AB386" s="2046"/>
      <c r="AC386" s="2040"/>
      <c r="AD386" s="2040"/>
      <c r="AE386" s="2047"/>
      <c r="AF386" s="2555"/>
      <c r="AG386" s="2551"/>
      <c r="AH386" s="2551"/>
      <c r="AI386" s="2555"/>
      <c r="AJ386" s="2551"/>
      <c r="AK386" s="2551"/>
      <c r="AL386" s="1989"/>
      <c r="AM386" s="1826"/>
      <c r="AN386" s="1826"/>
      <c r="AO386" s="1826"/>
      <c r="AP386" s="1826"/>
      <c r="AQ386" s="1826"/>
      <c r="AR386" s="1826"/>
      <c r="AS386" s="1826"/>
      <c r="AT386" s="1826"/>
      <c r="AU386" s="1826"/>
      <c r="AV386" s="1826"/>
      <c r="AW386" s="1826"/>
      <c r="AX386" s="1826"/>
      <c r="AY386" s="1826"/>
      <c r="AZ386" s="1826"/>
      <c r="BA386" s="1826"/>
      <c r="BB386" s="1826"/>
      <c r="BC386" s="1826"/>
      <c r="BD386" s="1826"/>
      <c r="BE386" s="1826"/>
      <c r="BF386" s="1826"/>
      <c r="BG386" s="1639"/>
    </row>
    <row customHeight="1" ht="0.75">
      <c r="A387" s="1170" t="s">
        <v>1246</v>
      </c>
      <c r="B387" s="1170"/>
      <c r="C387" s="1170"/>
      <c r="D387" s="1164"/>
      <c r="E387" s="1174"/>
      <c r="F387" s="2553"/>
      <c r="G387" s="2532"/>
      <c r="H387" s="2557"/>
      <c r="I387" s="2558"/>
      <c r="J387" s="2559"/>
      <c r="K387" s="2559"/>
      <c r="L387" s="2551"/>
      <c r="M387" s="2285"/>
      <c r="N387" s="2039"/>
      <c r="O387" s="2039"/>
      <c r="P387" s="2046"/>
      <c r="Q387" s="2039"/>
      <c r="R387" s="2039"/>
      <c r="S387" s="2039"/>
      <c r="T387" s="2039"/>
      <c r="U387" s="2039"/>
      <c r="V387" s="2039"/>
      <c r="W387" s="2039"/>
      <c r="X387" s="2039"/>
      <c r="Y387" s="2039"/>
      <c r="Z387" s="2039"/>
      <c r="AA387" s="2039"/>
      <c r="AB387" s="2039"/>
      <c r="AC387" s="2039"/>
      <c r="AD387" s="2039"/>
      <c r="AE387" s="2048"/>
      <c r="AF387" s="2555"/>
      <c r="AG387" s="2551"/>
      <c r="AH387" s="2551"/>
      <c r="AI387" s="2555"/>
      <c r="AJ387" s="2551"/>
      <c r="AK387" s="2551"/>
      <c r="AL387" s="1989"/>
      <c r="AM387" s="1826"/>
      <c r="AN387" s="1826"/>
      <c r="AO387" s="1826"/>
      <c r="AP387" s="1826"/>
      <c r="AQ387" s="1826"/>
      <c r="AR387" s="1826"/>
      <c r="AS387" s="1826"/>
      <c r="AT387" s="1826"/>
      <c r="AU387" s="1826"/>
      <c r="AV387" s="1826"/>
      <c r="AW387" s="1826"/>
      <c r="AX387" s="1826"/>
      <c r="AY387" s="1826"/>
      <c r="AZ387" s="1826"/>
      <c r="BA387" s="1826"/>
      <c r="BB387" s="1826"/>
      <c r="BC387" s="1826"/>
      <c r="BD387" s="1826"/>
      <c r="BE387" s="1826"/>
      <c r="BF387" s="1826"/>
      <c r="BG387" s="1639"/>
    </row>
    <row customHeight="1" ht="12">
      <c r="A388" s="1170" t="s">
        <v>1246</v>
      </c>
      <c r="B388" s="1170"/>
      <c r="C388" s="1170"/>
      <c r="D388" s="1164"/>
      <c r="E388" s="1174"/>
      <c r="F388" s="2554"/>
      <c r="G388" s="1194"/>
      <c r="H388" s="1194"/>
      <c r="I388" s="2552" t="s">
        <v>1300</v>
      </c>
      <c r="J388" s="2552"/>
      <c r="K388" s="2552"/>
      <c r="L388" s="1177"/>
      <c r="M388" s="1177"/>
      <c r="N388" s="1178"/>
      <c r="O388" s="1178"/>
      <c r="P388" s="1178"/>
      <c r="Q388" s="1178"/>
      <c r="R388" s="1178"/>
      <c r="S388" s="1178"/>
      <c r="T388" s="1178"/>
      <c r="U388" s="1178"/>
      <c r="V388" s="1178"/>
      <c r="W388" s="1178"/>
      <c r="X388" s="1178"/>
      <c r="Y388" s="1178"/>
      <c r="Z388" s="1178"/>
      <c r="AA388" s="1178"/>
      <c r="AB388" s="1178"/>
      <c r="AC388" s="1178"/>
      <c r="AD388" s="1178"/>
      <c r="AE388" s="1178"/>
      <c r="AF388" s="1178"/>
      <c r="AG388" s="1177"/>
      <c r="AH388" s="1177"/>
      <c r="AI388" s="1178"/>
      <c r="AJ388" s="1177"/>
      <c r="AK388" s="1178"/>
      <c r="AL388" s="1989"/>
      <c r="AM388" s="1826"/>
      <c r="AN388" s="1826"/>
      <c r="AO388" s="1826"/>
      <c r="AP388" s="1826"/>
      <c r="AQ388" s="1826"/>
      <c r="AR388" s="1826"/>
      <c r="AS388" s="1826"/>
      <c r="AT388" s="1826"/>
      <c r="AU388" s="1826"/>
      <c r="AV388" s="1826"/>
      <c r="AW388" s="1826"/>
      <c r="AX388" s="1826"/>
      <c r="AY388" s="1826"/>
      <c r="AZ388" s="1826"/>
      <c r="BA388" s="1826"/>
      <c r="BB388" s="1826"/>
      <c r="BC388" s="1826"/>
      <c r="BD388" s="1826"/>
      <c r="BE388" s="1826"/>
      <c r="BF388" s="1826"/>
      <c r="BG388" s="1639"/>
    </row>
    <row customHeight="1" ht="0.75">
      <c r="A389" s="1170" t="s">
        <v>1246</v>
      </c>
      <c r="B389" s="1170"/>
      <c r="C389" s="1170"/>
      <c r="D389" s="1164"/>
      <c r="E389" s="1174"/>
      <c r="F389" s="2553">
        <v>2022</v>
      </c>
      <c r="G389" s="2532"/>
      <c r="H389" s="2557" t="s">
        <v>514</v>
      </c>
      <c r="I389" s="2558"/>
      <c r="J389" s="2559"/>
      <c r="K389" s="2559"/>
      <c r="L389" s="2551"/>
      <c r="M389" s="2285"/>
      <c r="N389" s="2037"/>
      <c r="O389" s="2036"/>
      <c r="P389" s="2037"/>
      <c r="Q389" s="2037"/>
      <c r="R389" s="2037"/>
      <c r="S389" s="2037"/>
      <c r="T389" s="2037"/>
      <c r="U389" s="2037"/>
      <c r="V389" s="2037"/>
      <c r="W389" s="2037"/>
      <c r="X389" s="2037"/>
      <c r="Y389" s="2037"/>
      <c r="Z389" s="2037"/>
      <c r="AA389" s="2037"/>
      <c r="AB389" s="2037"/>
      <c r="AC389" s="2037"/>
      <c r="AD389" s="2037"/>
      <c r="AE389" s="2037"/>
      <c r="AF389" s="2555"/>
      <c r="AG389" s="2551"/>
      <c r="AH389" s="2551"/>
      <c r="AI389" s="2555"/>
      <c r="AJ389" s="2551"/>
      <c r="AK389" s="2551"/>
      <c r="AL389" s="1989"/>
      <c r="AM389" s="1826"/>
      <c r="AN389" s="1826"/>
      <c r="AO389" s="1826"/>
      <c r="AP389" s="1826"/>
      <c r="AQ389" s="1826"/>
      <c r="AR389" s="1826"/>
      <c r="AS389" s="1826"/>
      <c r="AT389" s="1826"/>
      <c r="AU389" s="1826"/>
      <c r="AV389" s="1826"/>
      <c r="AW389" s="1826"/>
      <c r="AX389" s="1826"/>
      <c r="AY389" s="1826"/>
      <c r="AZ389" s="1826"/>
      <c r="BA389" s="1826"/>
      <c r="BB389" s="1826"/>
      <c r="BC389" s="1826"/>
      <c r="BD389" s="1826"/>
      <c r="BE389" s="1826"/>
      <c r="BF389" s="1826"/>
      <c r="BG389" s="1639"/>
    </row>
    <row customHeight="1" ht="0.75">
      <c r="A390" s="1170" t="s">
        <v>1246</v>
      </c>
      <c r="B390" s="1170"/>
      <c r="C390" s="1170"/>
      <c r="D390" s="1164"/>
      <c r="E390" s="1174"/>
      <c r="F390" s="2553"/>
      <c r="G390" s="2532"/>
      <c r="H390" s="2557"/>
      <c r="I390" s="2558"/>
      <c r="J390" s="2559"/>
      <c r="K390" s="2559"/>
      <c r="L390" s="2551"/>
      <c r="M390" s="2285"/>
      <c r="N390" s="2560"/>
      <c r="O390" s="2561"/>
      <c r="P390" s="2605"/>
      <c r="Q390" s="2556"/>
      <c r="R390" s="2556"/>
      <c r="S390" s="2556"/>
      <c r="T390" s="2556"/>
      <c r="U390" s="2556"/>
      <c r="V390" s="2556"/>
      <c r="W390" s="2556"/>
      <c r="X390" s="2556"/>
      <c r="Y390" s="2556"/>
      <c r="Z390" s="2038"/>
      <c r="AA390" s="2039"/>
      <c r="AB390" s="2039"/>
      <c r="AC390" s="2040"/>
      <c r="AD390" s="2040"/>
      <c r="AE390" s="2041"/>
      <c r="AF390" s="2555"/>
      <c r="AG390" s="2551"/>
      <c r="AH390" s="2551"/>
      <c r="AI390" s="2555"/>
      <c r="AJ390" s="2551"/>
      <c r="AK390" s="2551"/>
      <c r="AL390" s="1989"/>
      <c r="AM390" s="1826"/>
      <c r="AN390" s="1826"/>
      <c r="AO390" s="1826"/>
      <c r="AP390" s="1826"/>
      <c r="AQ390" s="1826"/>
      <c r="AR390" s="1826"/>
      <c r="AS390" s="1826"/>
      <c r="AT390" s="1826"/>
      <c r="AU390" s="1826"/>
      <c r="AV390" s="1826"/>
      <c r="AW390" s="1826"/>
      <c r="AX390" s="1826"/>
      <c r="AY390" s="1826"/>
      <c r="AZ390" s="1826"/>
      <c r="BA390" s="1826"/>
      <c r="BB390" s="1826"/>
      <c r="BC390" s="1826"/>
      <c r="BD390" s="1826"/>
      <c r="BE390" s="1826"/>
      <c r="BF390" s="1826"/>
      <c r="BG390" s="1639"/>
    </row>
    <row customHeight="1" ht="0.75">
      <c r="A391" s="1170" t="s">
        <v>1246</v>
      </c>
      <c r="B391" s="1170"/>
      <c r="C391" s="1170"/>
      <c r="D391" s="1164"/>
      <c r="E391" s="1174"/>
      <c r="F391" s="2553"/>
      <c r="G391" s="2532"/>
      <c r="H391" s="2557"/>
      <c r="I391" s="2558"/>
      <c r="J391" s="2559"/>
      <c r="K391" s="2559"/>
      <c r="L391" s="2551"/>
      <c r="M391" s="2285"/>
      <c r="N391" s="2560"/>
      <c r="O391" s="2561"/>
      <c r="P391" s="2606"/>
      <c r="Q391" s="2556"/>
      <c r="R391" s="2556"/>
      <c r="S391" s="2556"/>
      <c r="T391" s="2556"/>
      <c r="U391" s="2556"/>
      <c r="V391" s="2556"/>
      <c r="W391" s="2556"/>
      <c r="X391" s="2556"/>
      <c r="Y391" s="2556"/>
      <c r="Z391" s="2042"/>
      <c r="AA391" s="2043"/>
      <c r="AB391" s="2044"/>
      <c r="AC391" s="2045"/>
      <c r="AD391" s="2044"/>
      <c r="AE391" s="2045"/>
      <c r="AF391" s="2555"/>
      <c r="AG391" s="2551"/>
      <c r="AH391" s="2551"/>
      <c r="AI391" s="2555"/>
      <c r="AJ391" s="2551"/>
      <c r="AK391" s="2551"/>
      <c r="AL391" s="1989"/>
      <c r="AM391" s="1826"/>
      <c r="AN391" s="1826"/>
      <c r="AO391" s="1826"/>
      <c r="AP391" s="1826"/>
      <c r="AQ391" s="1826"/>
      <c r="AR391" s="1826"/>
      <c r="AS391" s="1826"/>
      <c r="AT391" s="1826"/>
      <c r="AU391" s="1826"/>
      <c r="AV391" s="1826"/>
      <c r="AW391" s="1826"/>
      <c r="AX391" s="1826"/>
      <c r="AY391" s="1826"/>
      <c r="AZ391" s="1826"/>
      <c r="BA391" s="1826"/>
      <c r="BB391" s="1826"/>
      <c r="BC391" s="1826"/>
      <c r="BD391" s="1826"/>
      <c r="BE391" s="1826"/>
      <c r="BF391" s="1826"/>
      <c r="BG391" s="1639"/>
    </row>
    <row customHeight="1" ht="0.75">
      <c r="A392" s="1170" t="s">
        <v>1246</v>
      </c>
      <c r="B392" s="1170"/>
      <c r="C392" s="1170"/>
      <c r="D392" s="1164"/>
      <c r="E392" s="1174"/>
      <c r="F392" s="2553"/>
      <c r="G392" s="2532"/>
      <c r="H392" s="2557"/>
      <c r="I392" s="2558"/>
      <c r="J392" s="2559"/>
      <c r="K392" s="2559"/>
      <c r="L392" s="2551"/>
      <c r="M392" s="2285"/>
      <c r="N392" s="2560"/>
      <c r="O392" s="2561"/>
      <c r="P392" s="2607"/>
      <c r="Q392" s="2556"/>
      <c r="R392" s="2556"/>
      <c r="S392" s="2556"/>
      <c r="T392" s="2556"/>
      <c r="U392" s="2556"/>
      <c r="V392" s="2556"/>
      <c r="W392" s="2556"/>
      <c r="X392" s="2556"/>
      <c r="Y392" s="2556"/>
      <c r="Z392" s="2038"/>
      <c r="AA392" s="2039"/>
      <c r="AB392" s="2046"/>
      <c r="AC392" s="2040"/>
      <c r="AD392" s="2040"/>
      <c r="AE392" s="2047"/>
      <c r="AF392" s="2555"/>
      <c r="AG392" s="2551"/>
      <c r="AH392" s="2551"/>
      <c r="AI392" s="2555"/>
      <c r="AJ392" s="2551"/>
      <c r="AK392" s="2551"/>
      <c r="AL392" s="1989"/>
      <c r="AM392" s="1826"/>
      <c r="AN392" s="1826"/>
      <c r="AO392" s="1826"/>
      <c r="AP392" s="1826"/>
      <c r="AQ392" s="1826"/>
      <c r="AR392" s="1826"/>
      <c r="AS392" s="1826"/>
      <c r="AT392" s="1826"/>
      <c r="AU392" s="1826"/>
      <c r="AV392" s="1826"/>
      <c r="AW392" s="1826"/>
      <c r="AX392" s="1826"/>
      <c r="AY392" s="1826"/>
      <c r="AZ392" s="1826"/>
      <c r="BA392" s="1826"/>
      <c r="BB392" s="1826"/>
      <c r="BC392" s="1826"/>
      <c r="BD392" s="1826"/>
      <c r="BE392" s="1826"/>
      <c r="BF392" s="1826"/>
      <c r="BG392" s="1639"/>
    </row>
    <row customHeight="1" ht="0.75">
      <c r="A393" s="1170" t="s">
        <v>1246</v>
      </c>
      <c r="B393" s="1170"/>
      <c r="C393" s="1170"/>
      <c r="D393" s="1164"/>
      <c r="E393" s="1174"/>
      <c r="F393" s="2553"/>
      <c r="G393" s="2532"/>
      <c r="H393" s="2557"/>
      <c r="I393" s="2558"/>
      <c r="J393" s="2559"/>
      <c r="K393" s="2559"/>
      <c r="L393" s="2551"/>
      <c r="M393" s="2285"/>
      <c r="N393" s="2039"/>
      <c r="O393" s="2039"/>
      <c r="P393" s="2046"/>
      <c r="Q393" s="2039"/>
      <c r="R393" s="2039"/>
      <c r="S393" s="2039"/>
      <c r="T393" s="2039"/>
      <c r="U393" s="2039"/>
      <c r="V393" s="2039"/>
      <c r="W393" s="2039"/>
      <c r="X393" s="2039"/>
      <c r="Y393" s="2039"/>
      <c r="Z393" s="2039"/>
      <c r="AA393" s="2039"/>
      <c r="AB393" s="2039"/>
      <c r="AC393" s="2039"/>
      <c r="AD393" s="2039"/>
      <c r="AE393" s="2048"/>
      <c r="AF393" s="2555"/>
      <c r="AG393" s="2551"/>
      <c r="AH393" s="2551"/>
      <c r="AI393" s="2555"/>
      <c r="AJ393" s="2551"/>
      <c r="AK393" s="2551"/>
      <c r="AL393" s="1989"/>
      <c r="AM393" s="1826"/>
      <c r="AN393" s="1826"/>
      <c r="AO393" s="1826"/>
      <c r="AP393" s="1826"/>
      <c r="AQ393" s="1826"/>
      <c r="AR393" s="1826"/>
      <c r="AS393" s="1826"/>
      <c r="AT393" s="1826"/>
      <c r="AU393" s="1826"/>
      <c r="AV393" s="1826"/>
      <c r="AW393" s="1826"/>
      <c r="AX393" s="1826"/>
      <c r="AY393" s="1826"/>
      <c r="AZ393" s="1826"/>
      <c r="BA393" s="1826"/>
      <c r="BB393" s="1826"/>
      <c r="BC393" s="1826"/>
      <c r="BD393" s="1826"/>
      <c r="BE393" s="1826"/>
      <c r="BF393" s="1826"/>
      <c r="BG393" s="1639"/>
    </row>
    <row customHeight="1" ht="12">
      <c r="A394" s="1170" t="s">
        <v>1246</v>
      </c>
      <c r="B394" s="1170"/>
      <c r="C394" s="1170"/>
      <c r="D394" s="1164"/>
      <c r="E394" s="1174"/>
      <c r="F394" s="2554"/>
      <c r="G394" s="1194"/>
      <c r="H394" s="1194"/>
      <c r="I394" s="2552" t="s">
        <v>1300</v>
      </c>
      <c r="J394" s="2552"/>
      <c r="K394" s="2552"/>
      <c r="L394" s="1177"/>
      <c r="M394" s="1177"/>
      <c r="N394" s="1178"/>
      <c r="O394" s="1178"/>
      <c r="P394" s="1178"/>
      <c r="Q394" s="1178"/>
      <c r="R394" s="1178"/>
      <c r="S394" s="1178"/>
      <c r="T394" s="1178"/>
      <c r="U394" s="1178"/>
      <c r="V394" s="1178"/>
      <c r="W394" s="1178"/>
      <c r="X394" s="1178"/>
      <c r="Y394" s="1178"/>
      <c r="Z394" s="1178"/>
      <c r="AA394" s="1178"/>
      <c r="AB394" s="1178"/>
      <c r="AC394" s="1178"/>
      <c r="AD394" s="1178"/>
      <c r="AE394" s="1178"/>
      <c r="AF394" s="1178"/>
      <c r="AG394" s="1177"/>
      <c r="AH394" s="1177"/>
      <c r="AI394" s="1178"/>
      <c r="AJ394" s="1177"/>
      <c r="AK394" s="1178"/>
      <c r="AL394" s="1989"/>
      <c r="AM394" s="1826"/>
      <c r="AN394" s="1826"/>
      <c r="AO394" s="1826"/>
      <c r="AP394" s="1826"/>
      <c r="AQ394" s="1826"/>
      <c r="AR394" s="1826"/>
      <c r="AS394" s="1826"/>
      <c r="AT394" s="1826"/>
      <c r="AU394" s="1826"/>
      <c r="AV394" s="1826"/>
      <c r="AW394" s="1826"/>
      <c r="AX394" s="1826"/>
      <c r="AY394" s="1826"/>
      <c r="AZ394" s="1826"/>
      <c r="BA394" s="1826"/>
      <c r="BB394" s="1826"/>
      <c r="BC394" s="1826"/>
      <c r="BD394" s="1826"/>
      <c r="BE394" s="1826"/>
      <c r="BF394" s="1826"/>
      <c r="BG394" s="1639"/>
    </row>
    <row customHeight="1" ht="0.75">
      <c r="A395" s="1170" t="s">
        <v>1246</v>
      </c>
      <c r="B395" s="1170"/>
      <c r="C395" s="1170"/>
      <c r="D395" s="1164"/>
      <c r="E395" s="1174"/>
      <c r="F395" s="2553">
        <v>2023</v>
      </c>
      <c r="G395" s="2532"/>
      <c r="H395" s="2557" t="s">
        <v>514</v>
      </c>
      <c r="I395" s="2558"/>
      <c r="J395" s="2559"/>
      <c r="K395" s="2559"/>
      <c r="L395" s="2551"/>
      <c r="M395" s="2285"/>
      <c r="N395" s="2037"/>
      <c r="O395" s="2036"/>
      <c r="P395" s="2037"/>
      <c r="Q395" s="2037"/>
      <c r="R395" s="2037"/>
      <c r="S395" s="2037"/>
      <c r="T395" s="2037"/>
      <c r="U395" s="2037"/>
      <c r="V395" s="2037"/>
      <c r="W395" s="2037"/>
      <c r="X395" s="2037"/>
      <c r="Y395" s="2037"/>
      <c r="Z395" s="2037"/>
      <c r="AA395" s="2037"/>
      <c r="AB395" s="2037"/>
      <c r="AC395" s="2037"/>
      <c r="AD395" s="2037"/>
      <c r="AE395" s="2037"/>
      <c r="AF395" s="2555"/>
      <c r="AG395" s="2551"/>
      <c r="AH395" s="2551"/>
      <c r="AI395" s="2555"/>
      <c r="AJ395" s="2551"/>
      <c r="AK395" s="2551"/>
      <c r="AL395" s="1989"/>
      <c r="AM395" s="1826"/>
      <c r="AN395" s="1826"/>
      <c r="AO395" s="1826"/>
      <c r="AP395" s="1826"/>
      <c r="AQ395" s="1826"/>
      <c r="AR395" s="1826"/>
      <c r="AS395" s="1826"/>
      <c r="AT395" s="1826"/>
      <c r="AU395" s="1826"/>
      <c r="AV395" s="1826"/>
      <c r="AW395" s="1826"/>
      <c r="AX395" s="1826"/>
      <c r="AY395" s="1826"/>
      <c r="AZ395" s="1826"/>
      <c r="BA395" s="1826"/>
      <c r="BB395" s="1826"/>
      <c r="BC395" s="1826"/>
      <c r="BD395" s="1826"/>
      <c r="BE395" s="1826"/>
      <c r="BF395" s="1826"/>
      <c r="BG395" s="1639"/>
    </row>
    <row customHeight="1" ht="0.75">
      <c r="A396" s="1170" t="s">
        <v>1246</v>
      </c>
      <c r="B396" s="1170"/>
      <c r="C396" s="1170"/>
      <c r="D396" s="1164"/>
      <c r="E396" s="1174"/>
      <c r="F396" s="2553"/>
      <c r="G396" s="2532"/>
      <c r="H396" s="2557"/>
      <c r="I396" s="2558"/>
      <c r="J396" s="2559"/>
      <c r="K396" s="2559"/>
      <c r="L396" s="2551"/>
      <c r="M396" s="2285"/>
      <c r="N396" s="2560"/>
      <c r="O396" s="2561"/>
      <c r="P396" s="2605"/>
      <c r="Q396" s="2556"/>
      <c r="R396" s="2556"/>
      <c r="S396" s="2556"/>
      <c r="T396" s="2556"/>
      <c r="U396" s="2556"/>
      <c r="V396" s="2556"/>
      <c r="W396" s="2556"/>
      <c r="X396" s="2556"/>
      <c r="Y396" s="2556"/>
      <c r="Z396" s="2038"/>
      <c r="AA396" s="2039"/>
      <c r="AB396" s="2039"/>
      <c r="AC396" s="2040"/>
      <c r="AD396" s="2040"/>
      <c r="AE396" s="2041"/>
      <c r="AF396" s="2555"/>
      <c r="AG396" s="2551"/>
      <c r="AH396" s="2551"/>
      <c r="AI396" s="2555"/>
      <c r="AJ396" s="2551"/>
      <c r="AK396" s="2551"/>
      <c r="AL396" s="1989"/>
      <c r="AM396" s="1826"/>
      <c r="AN396" s="1826"/>
      <c r="AO396" s="1826"/>
      <c r="AP396" s="1826"/>
      <c r="AQ396" s="1826"/>
      <c r="AR396" s="1826"/>
      <c r="AS396" s="1826"/>
      <c r="AT396" s="1826"/>
      <c r="AU396" s="1826"/>
      <c r="AV396" s="1826"/>
      <c r="AW396" s="1826"/>
      <c r="AX396" s="1826"/>
      <c r="AY396" s="1826"/>
      <c r="AZ396" s="1826"/>
      <c r="BA396" s="1826"/>
      <c r="BB396" s="1826"/>
      <c r="BC396" s="1826"/>
      <c r="BD396" s="1826"/>
      <c r="BE396" s="1826"/>
      <c r="BF396" s="1826"/>
      <c r="BG396" s="1639"/>
    </row>
    <row customHeight="1" ht="0.75">
      <c r="A397" s="1170" t="s">
        <v>1246</v>
      </c>
      <c r="B397" s="1170"/>
      <c r="C397" s="1170"/>
      <c r="D397" s="1164"/>
      <c r="E397" s="1174"/>
      <c r="F397" s="2553"/>
      <c r="G397" s="2532"/>
      <c r="H397" s="2557"/>
      <c r="I397" s="2558"/>
      <c r="J397" s="2559"/>
      <c r="K397" s="2559"/>
      <c r="L397" s="2551"/>
      <c r="M397" s="2285"/>
      <c r="N397" s="2560"/>
      <c r="O397" s="2561"/>
      <c r="P397" s="2606"/>
      <c r="Q397" s="2556"/>
      <c r="R397" s="2556"/>
      <c r="S397" s="2556"/>
      <c r="T397" s="2556"/>
      <c r="U397" s="2556"/>
      <c r="V397" s="2556"/>
      <c r="W397" s="2556"/>
      <c r="X397" s="2556"/>
      <c r="Y397" s="2556"/>
      <c r="Z397" s="2042"/>
      <c r="AA397" s="2043"/>
      <c r="AB397" s="2044"/>
      <c r="AC397" s="2045"/>
      <c r="AD397" s="2044"/>
      <c r="AE397" s="2045"/>
      <c r="AF397" s="2555"/>
      <c r="AG397" s="2551"/>
      <c r="AH397" s="2551"/>
      <c r="AI397" s="2555"/>
      <c r="AJ397" s="2551"/>
      <c r="AK397" s="2551"/>
      <c r="AL397" s="1989"/>
      <c r="AM397" s="1826"/>
      <c r="AN397" s="1826"/>
      <c r="AO397" s="1826"/>
      <c r="AP397" s="1826"/>
      <c r="AQ397" s="1826"/>
      <c r="AR397" s="1826"/>
      <c r="AS397" s="1826"/>
      <c r="AT397" s="1826"/>
      <c r="AU397" s="1826"/>
      <c r="AV397" s="1826"/>
      <c r="AW397" s="1826"/>
      <c r="AX397" s="1826"/>
      <c r="AY397" s="1826"/>
      <c r="AZ397" s="1826"/>
      <c r="BA397" s="1826"/>
      <c r="BB397" s="1826"/>
      <c r="BC397" s="1826"/>
      <c r="BD397" s="1826"/>
      <c r="BE397" s="1826"/>
      <c r="BF397" s="1826"/>
      <c r="BG397" s="1639"/>
    </row>
    <row customHeight="1" ht="0.75">
      <c r="A398" s="1170" t="s">
        <v>1246</v>
      </c>
      <c r="B398" s="1170"/>
      <c r="C398" s="1170"/>
      <c r="D398" s="1164"/>
      <c r="E398" s="1174"/>
      <c r="F398" s="2553"/>
      <c r="G398" s="2532"/>
      <c r="H398" s="2557"/>
      <c r="I398" s="2558"/>
      <c r="J398" s="2559"/>
      <c r="K398" s="2559"/>
      <c r="L398" s="2551"/>
      <c r="M398" s="2285"/>
      <c r="N398" s="2560"/>
      <c r="O398" s="2561"/>
      <c r="P398" s="2607"/>
      <c r="Q398" s="2556"/>
      <c r="R398" s="2556"/>
      <c r="S398" s="2556"/>
      <c r="T398" s="2556"/>
      <c r="U398" s="2556"/>
      <c r="V398" s="2556"/>
      <c r="W398" s="2556"/>
      <c r="X398" s="2556"/>
      <c r="Y398" s="2556"/>
      <c r="Z398" s="2038"/>
      <c r="AA398" s="2039"/>
      <c r="AB398" s="2046"/>
      <c r="AC398" s="2040"/>
      <c r="AD398" s="2040"/>
      <c r="AE398" s="2047"/>
      <c r="AF398" s="2555"/>
      <c r="AG398" s="2551"/>
      <c r="AH398" s="2551"/>
      <c r="AI398" s="2555"/>
      <c r="AJ398" s="2551"/>
      <c r="AK398" s="2551"/>
      <c r="AL398" s="1989"/>
      <c r="AM398" s="1826"/>
      <c r="AN398" s="1826"/>
      <c r="AO398" s="1826"/>
      <c r="AP398" s="1826"/>
      <c r="AQ398" s="1826"/>
      <c r="AR398" s="1826"/>
      <c r="AS398" s="1826"/>
      <c r="AT398" s="1826"/>
      <c r="AU398" s="1826"/>
      <c r="AV398" s="1826"/>
      <c r="AW398" s="1826"/>
      <c r="AX398" s="1826"/>
      <c r="AY398" s="1826"/>
      <c r="AZ398" s="1826"/>
      <c r="BA398" s="1826"/>
      <c r="BB398" s="1826"/>
      <c r="BC398" s="1826"/>
      <c r="BD398" s="1826"/>
      <c r="BE398" s="1826"/>
      <c r="BF398" s="1826"/>
      <c r="BG398" s="1639"/>
    </row>
    <row customHeight="1" ht="0.75">
      <c r="A399" s="1170" t="s">
        <v>1246</v>
      </c>
      <c r="B399" s="1170"/>
      <c r="C399" s="1170"/>
      <c r="D399" s="1164"/>
      <c r="E399" s="1174"/>
      <c r="F399" s="2553"/>
      <c r="G399" s="2532"/>
      <c r="H399" s="2557"/>
      <c r="I399" s="2558"/>
      <c r="J399" s="2559"/>
      <c r="K399" s="2559"/>
      <c r="L399" s="2551"/>
      <c r="M399" s="2285"/>
      <c r="N399" s="2039"/>
      <c r="O399" s="2039"/>
      <c r="P399" s="2046"/>
      <c r="Q399" s="2039"/>
      <c r="R399" s="2039"/>
      <c r="S399" s="2039"/>
      <c r="T399" s="2039"/>
      <c r="U399" s="2039"/>
      <c r="V399" s="2039"/>
      <c r="W399" s="2039"/>
      <c r="X399" s="2039"/>
      <c r="Y399" s="2039"/>
      <c r="Z399" s="2039"/>
      <c r="AA399" s="2039"/>
      <c r="AB399" s="2039"/>
      <c r="AC399" s="2039"/>
      <c r="AD399" s="2039"/>
      <c r="AE399" s="2048"/>
      <c r="AF399" s="2555"/>
      <c r="AG399" s="2551"/>
      <c r="AH399" s="2551"/>
      <c r="AI399" s="2555"/>
      <c r="AJ399" s="2551"/>
      <c r="AK399" s="2551"/>
      <c r="AL399" s="1989"/>
      <c r="AM399" s="1826"/>
      <c r="AN399" s="1826"/>
      <c r="AO399" s="1826"/>
      <c r="AP399" s="1826"/>
      <c r="AQ399" s="1826"/>
      <c r="AR399" s="1826"/>
      <c r="AS399" s="1826"/>
      <c r="AT399" s="1826"/>
      <c r="AU399" s="1826"/>
      <c r="AV399" s="1826"/>
      <c r="AW399" s="1826"/>
      <c r="AX399" s="1826"/>
      <c r="AY399" s="1826"/>
      <c r="AZ399" s="1826"/>
      <c r="BA399" s="1826"/>
      <c r="BB399" s="1826"/>
      <c r="BC399" s="1826"/>
      <c r="BD399" s="1826"/>
      <c r="BE399" s="1826"/>
      <c r="BF399" s="1826"/>
      <c r="BG399" s="1639"/>
    </row>
    <row customHeight="1" ht="12">
      <c r="A400" s="1170" t="s">
        <v>1246</v>
      </c>
      <c r="B400" s="1170"/>
      <c r="C400" s="1170"/>
      <c r="D400" s="1164"/>
      <c r="E400" s="1174"/>
      <c r="F400" s="2554"/>
      <c r="G400" s="1194"/>
      <c r="H400" s="1194"/>
      <c r="I400" s="2552" t="s">
        <v>1300</v>
      </c>
      <c r="J400" s="2552"/>
      <c r="K400" s="2552"/>
      <c r="L400" s="1177"/>
      <c r="M400" s="1177"/>
      <c r="N400" s="1178"/>
      <c r="O400" s="1178"/>
      <c r="P400" s="1178"/>
      <c r="Q400" s="1178"/>
      <c r="R400" s="1178"/>
      <c r="S400" s="1178"/>
      <c r="T400" s="1178"/>
      <c r="U400" s="1178"/>
      <c r="V400" s="1178"/>
      <c r="W400" s="1178"/>
      <c r="X400" s="1178"/>
      <c r="Y400" s="1178"/>
      <c r="Z400" s="1178"/>
      <c r="AA400" s="1178"/>
      <c r="AB400" s="1178"/>
      <c r="AC400" s="1178"/>
      <c r="AD400" s="1178"/>
      <c r="AE400" s="1178"/>
      <c r="AF400" s="1178"/>
      <c r="AG400" s="1177"/>
      <c r="AH400" s="1177"/>
      <c r="AI400" s="1178"/>
      <c r="AJ400" s="1177"/>
      <c r="AK400" s="1178"/>
      <c r="AL400" s="1989"/>
      <c r="AM400" s="1826"/>
      <c r="AN400" s="1826"/>
      <c r="AO400" s="1826"/>
      <c r="AP400" s="1826"/>
      <c r="AQ400" s="1826"/>
      <c r="AR400" s="1826"/>
      <c r="AS400" s="1826"/>
      <c r="AT400" s="1826"/>
      <c r="AU400" s="1826"/>
      <c r="AV400" s="1826"/>
      <c r="AW400" s="1826"/>
      <c r="AX400" s="1826"/>
      <c r="AY400" s="1826"/>
      <c r="AZ400" s="1826"/>
      <c r="BA400" s="1826"/>
      <c r="BB400" s="1826"/>
      <c r="BC400" s="1826"/>
      <c r="BD400" s="1826"/>
      <c r="BE400" s="1826"/>
      <c r="BF400" s="1826"/>
      <c r="BG400" s="1639"/>
    </row>
    <row customHeight="1" ht="0.75">
      <c r="A401" s="1170" t="s">
        <v>1246</v>
      </c>
      <c r="B401" s="1170"/>
      <c r="C401" s="1170"/>
      <c r="D401" s="1164"/>
      <c r="E401" s="1174"/>
      <c r="F401" s="2553">
        <v>2024</v>
      </c>
      <c r="G401" s="2532"/>
      <c r="H401" s="2557" t="s">
        <v>514</v>
      </c>
      <c r="I401" s="2558"/>
      <c r="J401" s="2559"/>
      <c r="K401" s="2559"/>
      <c r="L401" s="2551"/>
      <c r="M401" s="2285"/>
      <c r="N401" s="2037"/>
      <c r="O401" s="2036"/>
      <c r="P401" s="2037"/>
      <c r="Q401" s="2037"/>
      <c r="R401" s="2037"/>
      <c r="S401" s="2037"/>
      <c r="T401" s="2037"/>
      <c r="U401" s="2037"/>
      <c r="V401" s="2037"/>
      <c r="W401" s="2037"/>
      <c r="X401" s="2037"/>
      <c r="Y401" s="2037"/>
      <c r="Z401" s="2037"/>
      <c r="AA401" s="2037"/>
      <c r="AB401" s="2037"/>
      <c r="AC401" s="2037"/>
      <c r="AD401" s="2037"/>
      <c r="AE401" s="2037"/>
      <c r="AF401" s="2555"/>
      <c r="AG401" s="2551"/>
      <c r="AH401" s="2551"/>
      <c r="AI401" s="2555"/>
      <c r="AJ401" s="2551"/>
      <c r="AK401" s="2551"/>
      <c r="AL401" s="1989"/>
      <c r="AM401" s="1826"/>
      <c r="AN401" s="1826"/>
      <c r="AO401" s="1826"/>
      <c r="AP401" s="1826"/>
      <c r="AQ401" s="1826"/>
      <c r="AR401" s="1826"/>
      <c r="AS401" s="1826"/>
      <c r="AT401" s="1826"/>
      <c r="AU401" s="1826"/>
      <c r="AV401" s="1826"/>
      <c r="AW401" s="1826"/>
      <c r="AX401" s="1826"/>
      <c r="AY401" s="1826"/>
      <c r="AZ401" s="1826"/>
      <c r="BA401" s="1826"/>
      <c r="BB401" s="1826"/>
      <c r="BC401" s="1826"/>
      <c r="BD401" s="1826"/>
      <c r="BE401" s="1826"/>
      <c r="BF401" s="1826"/>
      <c r="BG401" s="1639"/>
    </row>
    <row customHeight="1" ht="0.75">
      <c r="A402" s="1170" t="s">
        <v>1246</v>
      </c>
      <c r="B402" s="1170"/>
      <c r="C402" s="1170"/>
      <c r="D402" s="1164"/>
      <c r="E402" s="1174"/>
      <c r="F402" s="2553"/>
      <c r="G402" s="2532"/>
      <c r="H402" s="2557"/>
      <c r="I402" s="2558"/>
      <c r="J402" s="2559"/>
      <c r="K402" s="2559"/>
      <c r="L402" s="2551"/>
      <c r="M402" s="2285"/>
      <c r="N402" s="2560"/>
      <c r="O402" s="2561"/>
      <c r="P402" s="2605"/>
      <c r="Q402" s="2556"/>
      <c r="R402" s="2556"/>
      <c r="S402" s="2556"/>
      <c r="T402" s="2556"/>
      <c r="U402" s="2556"/>
      <c r="V402" s="2556"/>
      <c r="W402" s="2556"/>
      <c r="X402" s="2556"/>
      <c r="Y402" s="2556"/>
      <c r="Z402" s="2038"/>
      <c r="AA402" s="2039"/>
      <c r="AB402" s="2039"/>
      <c r="AC402" s="2040"/>
      <c r="AD402" s="2040"/>
      <c r="AE402" s="2041"/>
      <c r="AF402" s="2555"/>
      <c r="AG402" s="2551"/>
      <c r="AH402" s="2551"/>
      <c r="AI402" s="2555"/>
      <c r="AJ402" s="2551"/>
      <c r="AK402" s="2551"/>
      <c r="AL402" s="1989"/>
      <c r="AM402" s="1826"/>
      <c r="AN402" s="1826"/>
      <c r="AO402" s="1826"/>
      <c r="AP402" s="1826"/>
      <c r="AQ402" s="1826"/>
      <c r="AR402" s="1826"/>
      <c r="AS402" s="1826"/>
      <c r="AT402" s="1826"/>
      <c r="AU402" s="1826"/>
      <c r="AV402" s="1826"/>
      <c r="AW402" s="1826"/>
      <c r="AX402" s="1826"/>
      <c r="AY402" s="1826"/>
      <c r="AZ402" s="1826"/>
      <c r="BA402" s="1826"/>
      <c r="BB402" s="1826"/>
      <c r="BC402" s="1826"/>
      <c r="BD402" s="1826"/>
      <c r="BE402" s="1826"/>
      <c r="BF402" s="1826"/>
      <c r="BG402" s="1639"/>
    </row>
    <row customHeight="1" ht="0.75">
      <c r="A403" s="1170" t="s">
        <v>1246</v>
      </c>
      <c r="B403" s="1170"/>
      <c r="C403" s="1170"/>
      <c r="D403" s="1164"/>
      <c r="E403" s="1174"/>
      <c r="F403" s="2553"/>
      <c r="G403" s="2532"/>
      <c r="H403" s="2557"/>
      <c r="I403" s="2558"/>
      <c r="J403" s="2559"/>
      <c r="K403" s="2559"/>
      <c r="L403" s="2551"/>
      <c r="M403" s="2285"/>
      <c r="N403" s="2560"/>
      <c r="O403" s="2561"/>
      <c r="P403" s="2606"/>
      <c r="Q403" s="2556"/>
      <c r="R403" s="2556"/>
      <c r="S403" s="2556"/>
      <c r="T403" s="2556"/>
      <c r="U403" s="2556"/>
      <c r="V403" s="2556"/>
      <c r="W403" s="2556"/>
      <c r="X403" s="2556"/>
      <c r="Y403" s="2556"/>
      <c r="Z403" s="2042"/>
      <c r="AA403" s="2043"/>
      <c r="AB403" s="2044"/>
      <c r="AC403" s="2045"/>
      <c r="AD403" s="2044"/>
      <c r="AE403" s="2045"/>
      <c r="AF403" s="2555"/>
      <c r="AG403" s="2551"/>
      <c r="AH403" s="2551"/>
      <c r="AI403" s="2555"/>
      <c r="AJ403" s="2551"/>
      <c r="AK403" s="2551"/>
      <c r="AL403" s="1989"/>
      <c r="AM403" s="1826"/>
      <c r="AN403" s="1826"/>
      <c r="AO403" s="1826"/>
      <c r="AP403" s="1826"/>
      <c r="AQ403" s="1826"/>
      <c r="AR403" s="1826"/>
      <c r="AS403" s="1826"/>
      <c r="AT403" s="1826"/>
      <c r="AU403" s="1826"/>
      <c r="AV403" s="1826"/>
      <c r="AW403" s="1826"/>
      <c r="AX403" s="1826"/>
      <c r="AY403" s="1826"/>
      <c r="AZ403" s="1826"/>
      <c r="BA403" s="1826"/>
      <c r="BB403" s="1826"/>
      <c r="BC403" s="1826"/>
      <c r="BD403" s="1826"/>
      <c r="BE403" s="1826"/>
      <c r="BF403" s="1826"/>
      <c r="BG403" s="1639"/>
    </row>
    <row customHeight="1" ht="0.75">
      <c r="A404" s="1170" t="s">
        <v>1246</v>
      </c>
      <c r="B404" s="1170"/>
      <c r="C404" s="1170"/>
      <c r="D404" s="1164"/>
      <c r="E404" s="1174"/>
      <c r="F404" s="2553"/>
      <c r="G404" s="2532"/>
      <c r="H404" s="2557"/>
      <c r="I404" s="2558"/>
      <c r="J404" s="2559"/>
      <c r="K404" s="2559"/>
      <c r="L404" s="2551"/>
      <c r="M404" s="2285"/>
      <c r="N404" s="2560"/>
      <c r="O404" s="2561"/>
      <c r="P404" s="2607"/>
      <c r="Q404" s="2556"/>
      <c r="R404" s="2556"/>
      <c r="S404" s="2556"/>
      <c r="T404" s="2556"/>
      <c r="U404" s="2556"/>
      <c r="V404" s="2556"/>
      <c r="W404" s="2556"/>
      <c r="X404" s="2556"/>
      <c r="Y404" s="2556"/>
      <c r="Z404" s="2038"/>
      <c r="AA404" s="2039"/>
      <c r="AB404" s="2046"/>
      <c r="AC404" s="2040"/>
      <c r="AD404" s="2040"/>
      <c r="AE404" s="2047"/>
      <c r="AF404" s="2555"/>
      <c r="AG404" s="2551"/>
      <c r="AH404" s="2551"/>
      <c r="AI404" s="2555"/>
      <c r="AJ404" s="2551"/>
      <c r="AK404" s="2551"/>
      <c r="AL404" s="1989"/>
      <c r="AM404" s="1826"/>
      <c r="AN404" s="1826"/>
      <c r="AO404" s="1826"/>
      <c r="AP404" s="1826"/>
      <c r="AQ404" s="1826"/>
      <c r="AR404" s="1826"/>
      <c r="AS404" s="1826"/>
      <c r="AT404" s="1826"/>
      <c r="AU404" s="1826"/>
      <c r="AV404" s="1826"/>
      <c r="AW404" s="1826"/>
      <c r="AX404" s="1826"/>
      <c r="AY404" s="1826"/>
      <c r="AZ404" s="1826"/>
      <c r="BA404" s="1826"/>
      <c r="BB404" s="1826"/>
      <c r="BC404" s="1826"/>
      <c r="BD404" s="1826"/>
      <c r="BE404" s="1826"/>
      <c r="BF404" s="1826"/>
      <c r="BG404" s="1639"/>
    </row>
    <row customHeight="1" ht="0.75">
      <c r="A405" s="1170" t="s">
        <v>1246</v>
      </c>
      <c r="B405" s="1170"/>
      <c r="C405" s="1170"/>
      <c r="D405" s="1164"/>
      <c r="E405" s="1174"/>
      <c r="F405" s="2553"/>
      <c r="G405" s="2532"/>
      <c r="H405" s="2557"/>
      <c r="I405" s="2558"/>
      <c r="J405" s="2559"/>
      <c r="K405" s="2559"/>
      <c r="L405" s="2551"/>
      <c r="M405" s="2285"/>
      <c r="N405" s="2039"/>
      <c r="O405" s="2039"/>
      <c r="P405" s="2046"/>
      <c r="Q405" s="2039"/>
      <c r="R405" s="2039"/>
      <c r="S405" s="2039"/>
      <c r="T405" s="2039"/>
      <c r="U405" s="2039"/>
      <c r="V405" s="2039"/>
      <c r="W405" s="2039"/>
      <c r="X405" s="2039"/>
      <c r="Y405" s="2039"/>
      <c r="Z405" s="2039"/>
      <c r="AA405" s="2039"/>
      <c r="AB405" s="2039"/>
      <c r="AC405" s="2039"/>
      <c r="AD405" s="2039"/>
      <c r="AE405" s="2048"/>
      <c r="AF405" s="2555"/>
      <c r="AG405" s="2551"/>
      <c r="AH405" s="2551"/>
      <c r="AI405" s="2555"/>
      <c r="AJ405" s="2551"/>
      <c r="AK405" s="2551"/>
      <c r="AL405" s="1989"/>
      <c r="AM405" s="1826"/>
      <c r="AN405" s="1826"/>
      <c r="AO405" s="1826"/>
      <c r="AP405" s="1826"/>
      <c r="AQ405" s="1826"/>
      <c r="AR405" s="1826"/>
      <c r="AS405" s="1826"/>
      <c r="AT405" s="1826"/>
      <c r="AU405" s="1826"/>
      <c r="AV405" s="1826"/>
      <c r="AW405" s="1826"/>
      <c r="AX405" s="1826"/>
      <c r="AY405" s="1826"/>
      <c r="AZ405" s="1826"/>
      <c r="BA405" s="1826"/>
      <c r="BB405" s="1826"/>
      <c r="BC405" s="1826"/>
      <c r="BD405" s="1826"/>
      <c r="BE405" s="1826"/>
      <c r="BF405" s="1826"/>
      <c r="BG405" s="1639"/>
    </row>
    <row customHeight="1" ht="11.25">
      <c r="A406" s="1170" t="s">
        <v>1246</v>
      </c>
      <c r="B406" s="1170"/>
      <c r="C406" s="1170"/>
      <c r="D406" s="1164"/>
      <c r="E406" s="1174"/>
      <c r="F406" s="1832"/>
      <c r="G406" s="687" t="s">
        <v>103</v>
      </c>
      <c r="H406" s="2532" t="s">
        <v>105</v>
      </c>
      <c r="I406" s="2533"/>
      <c r="J406" s="2502"/>
      <c r="K406" s="2534" t="s">
        <v>1337</v>
      </c>
      <c r="L406" s="2124" t="s">
        <v>19</v>
      </c>
      <c r="M406" s="2125"/>
      <c r="N406" s="1987"/>
      <c r="O406" s="1181" t="s">
        <v>514</v>
      </c>
      <c r="P406" s="1182"/>
      <c r="Q406" s="1182"/>
      <c r="R406" s="1182"/>
      <c r="S406" s="1182"/>
      <c r="T406" s="1182"/>
      <c r="U406" s="1182"/>
      <c r="V406" s="1182"/>
      <c r="W406" s="1182"/>
      <c r="X406" s="1182"/>
      <c r="Y406" s="1182"/>
      <c r="Z406" s="1182"/>
      <c r="AA406" s="1182"/>
      <c r="AB406" s="1182"/>
      <c r="AC406" s="1182"/>
      <c r="AD406" s="1182"/>
      <c r="AE406" s="1182"/>
      <c r="AF406" s="2523">
        <v>9</v>
      </c>
      <c r="AG406" s="2524" t="s">
        <v>1302</v>
      </c>
      <c r="AH406" s="2524" t="s">
        <v>1303</v>
      </c>
      <c r="AI406" s="2523">
        <v>9</v>
      </c>
      <c r="AJ406" s="2524" t="s">
        <v>1302</v>
      </c>
      <c r="AK406" s="2524" t="s">
        <v>1303</v>
      </c>
      <c r="AL406" s="1989"/>
      <c r="AM406" s="1826"/>
      <c r="AN406" s="1826"/>
      <c r="AO406" s="1826"/>
      <c r="AP406" s="1826"/>
      <c r="AQ406" s="1826"/>
      <c r="AR406" s="1826"/>
      <c r="AS406" s="1826"/>
      <c r="AT406" s="1826"/>
      <c r="AU406" s="1826"/>
      <c r="AV406" s="1826"/>
      <c r="AW406" s="1826"/>
      <c r="AX406" s="1826"/>
      <c r="AY406" s="1826"/>
      <c r="AZ406" s="1826"/>
      <c r="BA406" s="1826"/>
      <c r="BB406" s="1826"/>
      <c r="BC406" s="1826"/>
      <c r="BD406" s="1826"/>
      <c r="BE406" s="1826"/>
      <c r="BF406" s="1826"/>
      <c r="BG406" s="1639"/>
    </row>
    <row customHeight="1" ht="11.25">
      <c r="A407" s="1170" t="s">
        <v>1246</v>
      </c>
      <c r="B407" s="1170"/>
      <c r="C407" s="1170"/>
      <c r="D407" s="1164"/>
      <c r="E407" s="1174"/>
      <c r="F407" s="1832"/>
      <c r="G407" s="1833"/>
      <c r="H407" s="2532" t="s">
        <v>514</v>
      </c>
      <c r="I407" s="2533"/>
      <c r="J407" s="2502"/>
      <c r="K407" s="2534"/>
      <c r="L407" s="2124"/>
      <c r="M407" s="2125"/>
      <c r="N407" s="2525"/>
      <c r="O407" s="2526">
        <v>1</v>
      </c>
      <c r="P407" s="2527" t="s">
        <v>19</v>
      </c>
      <c r="Q407" s="2530" t="s">
        <v>22</v>
      </c>
      <c r="R407" s="2530" t="s">
        <v>22</v>
      </c>
      <c r="S407" s="2530" t="s">
        <v>22</v>
      </c>
      <c r="T407" s="2530" t="s">
        <v>22</v>
      </c>
      <c r="U407" s="2530" t="s">
        <v>22</v>
      </c>
      <c r="V407" s="2530" t="s">
        <v>22</v>
      </c>
      <c r="W407" s="2530" t="s">
        <v>22</v>
      </c>
      <c r="X407" s="2530" t="s">
        <v>22</v>
      </c>
      <c r="Y407" s="2530"/>
      <c r="Z407" s="1179"/>
      <c r="AA407" s="1180"/>
      <c r="AB407" s="1180"/>
      <c r="AC407" s="1184"/>
      <c r="AD407" s="1184"/>
      <c r="AE407" s="1185"/>
      <c r="AF407" s="2523"/>
      <c r="AG407" s="2524"/>
      <c r="AH407" s="2524"/>
      <c r="AI407" s="2523"/>
      <c r="AJ407" s="2524"/>
      <c r="AK407" s="2524"/>
      <c r="AL407" s="1989"/>
      <c r="AM407" s="1826"/>
      <c r="AN407" s="1826"/>
      <c r="AO407" s="1826"/>
      <c r="AP407" s="1826"/>
      <c r="AQ407" s="1826"/>
      <c r="AR407" s="1826"/>
      <c r="AS407" s="1826"/>
      <c r="AT407" s="1826"/>
      <c r="AU407" s="1826"/>
      <c r="AV407" s="1826"/>
      <c r="AW407" s="1826"/>
      <c r="AX407" s="1826"/>
      <c r="AY407" s="1826"/>
      <c r="AZ407" s="1826"/>
      <c r="BA407" s="1826"/>
      <c r="BB407" s="1826"/>
      <c r="BC407" s="1826"/>
      <c r="BD407" s="1826"/>
      <c r="BE407" s="1826"/>
      <c r="BF407" s="1826"/>
      <c r="BG407" s="1639"/>
    </row>
    <row customHeight="1" ht="11.25">
      <c r="A408" s="1170" t="s">
        <v>1246</v>
      </c>
      <c r="B408" s="1170"/>
      <c r="C408" s="1170"/>
      <c r="D408" s="1164"/>
      <c r="E408" s="1174"/>
      <c r="F408" s="1832"/>
      <c r="G408" s="1833"/>
      <c r="H408" s="2532" t="s">
        <v>514</v>
      </c>
      <c r="I408" s="2533"/>
      <c r="J408" s="2502"/>
      <c r="K408" s="2534"/>
      <c r="L408" s="2124"/>
      <c r="M408" s="2125"/>
      <c r="N408" s="2525"/>
      <c r="O408" s="2526"/>
      <c r="P408" s="2528"/>
      <c r="Q408" s="2530"/>
      <c r="R408" s="2530"/>
      <c r="S408" s="2531"/>
      <c r="T408" s="2530"/>
      <c r="U408" s="2530"/>
      <c r="V408" s="2530"/>
      <c r="W408" s="2530"/>
      <c r="X408" s="2530"/>
      <c r="Y408" s="2530"/>
      <c r="Z408" s="1831"/>
      <c r="AA408" s="1797">
        <v>1</v>
      </c>
      <c r="AB408" s="1183" t="s">
        <v>1312</v>
      </c>
      <c r="AC408" s="1173">
        <v>0</v>
      </c>
      <c r="AD408" s="1183" t="str">
        <f>AB408</f>
        <v>  Прибыль направляемая на инвестиции</v>
      </c>
      <c r="AE408" s="1173">
        <v>0</v>
      </c>
      <c r="AF408" s="2523"/>
      <c r="AG408" s="2524"/>
      <c r="AH408" s="2524"/>
      <c r="AI408" s="2523"/>
      <c r="AJ408" s="2524"/>
      <c r="AK408" s="2524"/>
      <c r="AL408" s="1989"/>
      <c r="AM408" s="1826"/>
      <c r="AN408" s="1826"/>
      <c r="AO408" s="1826"/>
      <c r="AP408" s="1826"/>
      <c r="AQ408" s="1826"/>
      <c r="AR408" s="1826"/>
      <c r="AS408" s="1826"/>
      <c r="AT408" s="1826"/>
      <c r="AU408" s="1826"/>
      <c r="AV408" s="1826"/>
      <c r="AW408" s="1826"/>
      <c r="AX408" s="1826"/>
      <c r="AY408" s="1826"/>
      <c r="AZ408" s="1826"/>
      <c r="BA408" s="1826"/>
      <c r="BB408" s="1826"/>
      <c r="BC408" s="1826"/>
      <c r="BD408" s="1826"/>
      <c r="BE408" s="1826"/>
      <c r="BF408" s="1826"/>
      <c r="BG408" s="1639"/>
    </row>
    <row customHeight="1" ht="11.25">
      <c r="A409" s="1170" t="s">
        <v>1246</v>
      </c>
      <c r="B409" s="1170"/>
      <c r="C409" s="1170"/>
      <c r="D409" s="1164"/>
      <c r="E409" s="1174"/>
      <c r="F409" s="1832"/>
      <c r="G409" s="1833"/>
      <c r="H409" s="2532" t="s">
        <v>514</v>
      </c>
      <c r="I409" s="2533"/>
      <c r="J409" s="2502"/>
      <c r="K409" s="2534"/>
      <c r="L409" s="2124"/>
      <c r="M409" s="2125"/>
      <c r="N409" s="2525"/>
      <c r="O409" s="2526"/>
      <c r="P409" s="2529"/>
      <c r="Q409" s="2530"/>
      <c r="R409" s="2530"/>
      <c r="S409" s="2531"/>
      <c r="T409" s="2530"/>
      <c r="U409" s="2530"/>
      <c r="V409" s="2530"/>
      <c r="W409" s="2530"/>
      <c r="X409" s="2530"/>
      <c r="Y409" s="2530"/>
      <c r="Z409" s="1179"/>
      <c r="AA409" s="1180"/>
      <c r="AB409" s="1245" t="s">
        <v>1313</v>
      </c>
      <c r="AC409" s="1184"/>
      <c r="AD409" s="1184"/>
      <c r="AE409" s="1186"/>
      <c r="AF409" s="2523"/>
      <c r="AG409" s="2524"/>
      <c r="AH409" s="2524"/>
      <c r="AI409" s="2523"/>
      <c r="AJ409" s="2524"/>
      <c r="AK409" s="2524"/>
      <c r="AL409" s="1989"/>
      <c r="AM409" s="1826"/>
      <c r="AN409" s="1826"/>
      <c r="AO409" s="1826"/>
      <c r="AP409" s="1826"/>
      <c r="AQ409" s="1826"/>
      <c r="AR409" s="1826"/>
      <c r="AS409" s="1826"/>
      <c r="AT409" s="1826"/>
      <c r="AU409" s="1826"/>
      <c r="AV409" s="1826"/>
      <c r="AW409" s="1826"/>
      <c r="AX409" s="1826"/>
      <c r="AY409" s="1826"/>
      <c r="AZ409" s="1826"/>
      <c r="BA409" s="1826"/>
      <c r="BB409" s="1826"/>
      <c r="BC409" s="1826"/>
      <c r="BD409" s="1826"/>
      <c r="BE409" s="1826"/>
      <c r="BF409" s="1826"/>
      <c r="BG409" s="1639"/>
    </row>
    <row customHeight="1" ht="11.25">
      <c r="A410" s="1170" t="s">
        <v>1246</v>
      </c>
      <c r="B410" s="1170"/>
      <c r="C410" s="1170"/>
      <c r="D410" s="1164"/>
      <c r="E410" s="1174"/>
      <c r="F410" s="1832"/>
      <c r="G410" s="1833"/>
      <c r="H410" s="2532" t="s">
        <v>514</v>
      </c>
      <c r="I410" s="2533"/>
      <c r="J410" s="2502"/>
      <c r="K410" s="2534"/>
      <c r="L410" s="2124"/>
      <c r="M410" s="2125"/>
      <c r="N410" s="1179"/>
      <c r="O410" s="1180"/>
      <c r="P410" s="1172" t="s">
        <v>1314</v>
      </c>
      <c r="Q410" s="1180"/>
      <c r="R410" s="1180"/>
      <c r="S410" s="1180"/>
      <c r="T410" s="1180"/>
      <c r="U410" s="1180"/>
      <c r="V410" s="1180"/>
      <c r="W410" s="1180"/>
      <c r="X410" s="1180"/>
      <c r="Y410" s="1180"/>
      <c r="Z410" s="1180"/>
      <c r="AA410" s="1180"/>
      <c r="AB410" s="1180"/>
      <c r="AC410" s="1180"/>
      <c r="AD410" s="1180"/>
      <c r="AE410" s="1187"/>
      <c r="AF410" s="2523"/>
      <c r="AG410" s="2524"/>
      <c r="AH410" s="2524"/>
      <c r="AI410" s="2523"/>
      <c r="AJ410" s="2524"/>
      <c r="AK410" s="2524"/>
      <c r="AL410" s="1989"/>
      <c r="AM410" s="1826"/>
      <c r="AN410" s="1826"/>
      <c r="AO410" s="1826"/>
      <c r="AP410" s="1826"/>
      <c r="AQ410" s="1826"/>
      <c r="AR410" s="1826"/>
      <c r="AS410" s="1826"/>
      <c r="AT410" s="1826"/>
      <c r="AU410" s="1826"/>
      <c r="AV410" s="1826"/>
      <c r="AW410" s="1826"/>
      <c r="AX410" s="1826"/>
      <c r="AY410" s="1826"/>
      <c r="AZ410" s="1826"/>
      <c r="BA410" s="1826"/>
      <c r="BB410" s="1826"/>
      <c r="BC410" s="1826"/>
      <c r="BD410" s="1826"/>
      <c r="BE410" s="1826"/>
      <c r="BF410" s="1826"/>
      <c r="BG410" s="1639"/>
    </row>
    <row customHeight="1" ht="12">
      <c r="A411" s="1170" t="s">
        <v>1246</v>
      </c>
      <c r="B411" s="1170"/>
      <c r="C411" s="1170"/>
      <c r="D411" s="1164"/>
      <c r="E411" s="1174"/>
      <c r="F411" s="2554"/>
      <c r="G411" s="1194"/>
      <c r="H411" s="1194"/>
      <c r="I411" s="2552" t="s">
        <v>1300</v>
      </c>
      <c r="J411" s="2552"/>
      <c r="K411" s="2552"/>
      <c r="L411" s="1177"/>
      <c r="M411" s="1177"/>
      <c r="N411" s="1178"/>
      <c r="O411" s="1178"/>
      <c r="P411" s="1178"/>
      <c r="Q411" s="1178"/>
      <c r="R411" s="1178"/>
      <c r="S411" s="1178"/>
      <c r="T411" s="1178"/>
      <c r="U411" s="1178"/>
      <c r="V411" s="1178"/>
      <c r="W411" s="1178"/>
      <c r="X411" s="1178"/>
      <c r="Y411" s="1178"/>
      <c r="Z411" s="1178"/>
      <c r="AA411" s="1178"/>
      <c r="AB411" s="1178"/>
      <c r="AC411" s="1178"/>
      <c r="AD411" s="1178"/>
      <c r="AE411" s="1178"/>
      <c r="AF411" s="1178"/>
      <c r="AG411" s="1177"/>
      <c r="AH411" s="1177"/>
      <c r="AI411" s="1178"/>
      <c r="AJ411" s="1177"/>
      <c r="AK411" s="1178"/>
      <c r="AL411" s="1989"/>
      <c r="AM411" s="1826"/>
      <c r="AN411" s="1826"/>
      <c r="AO411" s="1826"/>
      <c r="AP411" s="1826"/>
      <c r="AQ411" s="1826"/>
      <c r="AR411" s="1826"/>
      <c r="AS411" s="1826"/>
      <c r="AT411" s="1826"/>
      <c r="AU411" s="1826"/>
      <c r="AV411" s="1826"/>
      <c r="AW411" s="1826"/>
      <c r="AX411" s="1826"/>
      <c r="AY411" s="1826"/>
      <c r="AZ411" s="1826"/>
      <c r="BA411" s="1826"/>
      <c r="BB411" s="1826"/>
      <c r="BC411" s="1826"/>
      <c r="BD411" s="1826"/>
      <c r="BE411" s="1826"/>
      <c r="BF411" s="1826"/>
      <c r="BG411" s="1639"/>
    </row>
    <row customHeight="1" ht="0.75">
      <c r="A412" s="1170" t="s">
        <v>1246</v>
      </c>
      <c r="B412" s="1170"/>
      <c r="C412" s="1170"/>
      <c r="D412" s="1164"/>
      <c r="E412" s="1174"/>
      <c r="F412" s="2553">
        <v>2025</v>
      </c>
      <c r="G412" s="2532"/>
      <c r="H412" s="2557" t="s">
        <v>514</v>
      </c>
      <c r="I412" s="2558"/>
      <c r="J412" s="2559"/>
      <c r="K412" s="2559"/>
      <c r="L412" s="2551"/>
      <c r="M412" s="2285"/>
      <c r="N412" s="2037"/>
      <c r="O412" s="2036"/>
      <c r="P412" s="2037"/>
      <c r="Q412" s="2037"/>
      <c r="R412" s="2037"/>
      <c r="S412" s="2037"/>
      <c r="T412" s="2037"/>
      <c r="U412" s="2037"/>
      <c r="V412" s="2037"/>
      <c r="W412" s="2037"/>
      <c r="X412" s="2037"/>
      <c r="Y412" s="2037"/>
      <c r="Z412" s="2037"/>
      <c r="AA412" s="2037"/>
      <c r="AB412" s="2037"/>
      <c r="AC412" s="2037"/>
      <c r="AD412" s="2037"/>
      <c r="AE412" s="2037"/>
      <c r="AF412" s="2555"/>
      <c r="AG412" s="2551"/>
      <c r="AH412" s="2551"/>
      <c r="AI412" s="2555"/>
      <c r="AJ412" s="2551"/>
      <c r="AK412" s="2551"/>
      <c r="AL412" s="1989"/>
      <c r="AM412" s="1826"/>
      <c r="AN412" s="1826"/>
      <c r="AO412" s="1826"/>
      <c r="AP412" s="1826"/>
      <c r="AQ412" s="1826"/>
      <c r="AR412" s="1826"/>
      <c r="AS412" s="1826"/>
      <c r="AT412" s="1826"/>
      <c r="AU412" s="1826"/>
      <c r="AV412" s="1826"/>
      <c r="AW412" s="1826"/>
      <c r="AX412" s="1826"/>
      <c r="AY412" s="1826"/>
      <c r="AZ412" s="1826"/>
      <c r="BA412" s="1826"/>
      <c r="BB412" s="1826"/>
      <c r="BC412" s="1826"/>
      <c r="BD412" s="1826"/>
      <c r="BE412" s="1826"/>
      <c r="BF412" s="1826"/>
      <c r="BG412" s="1639"/>
    </row>
    <row customHeight="1" ht="0.75">
      <c r="A413" s="1170" t="s">
        <v>1246</v>
      </c>
      <c r="B413" s="1170"/>
      <c r="C413" s="1170"/>
      <c r="D413" s="1164"/>
      <c r="E413" s="1174"/>
      <c r="F413" s="2553"/>
      <c r="G413" s="2532"/>
      <c r="H413" s="2557"/>
      <c r="I413" s="2558"/>
      <c r="J413" s="2559"/>
      <c r="K413" s="2559"/>
      <c r="L413" s="2551"/>
      <c r="M413" s="2285"/>
      <c r="N413" s="2560"/>
      <c r="O413" s="2561"/>
      <c r="P413" s="2605"/>
      <c r="Q413" s="2556"/>
      <c r="R413" s="2556"/>
      <c r="S413" s="2556"/>
      <c r="T413" s="2556"/>
      <c r="U413" s="2556"/>
      <c r="V413" s="2556"/>
      <c r="W413" s="2556"/>
      <c r="X413" s="2556"/>
      <c r="Y413" s="2556"/>
      <c r="Z413" s="2038"/>
      <c r="AA413" s="2039"/>
      <c r="AB413" s="2039"/>
      <c r="AC413" s="2040"/>
      <c r="AD413" s="2040"/>
      <c r="AE413" s="2041"/>
      <c r="AF413" s="2555"/>
      <c r="AG413" s="2551"/>
      <c r="AH413" s="2551"/>
      <c r="AI413" s="2555"/>
      <c r="AJ413" s="2551"/>
      <c r="AK413" s="2551"/>
      <c r="AL413" s="1989"/>
      <c r="AM413" s="1826"/>
      <c r="AN413" s="1826"/>
      <c r="AO413" s="1826"/>
      <c r="AP413" s="1826"/>
      <c r="AQ413" s="1826"/>
      <c r="AR413" s="1826"/>
      <c r="AS413" s="1826"/>
      <c r="AT413" s="1826"/>
      <c r="AU413" s="1826"/>
      <c r="AV413" s="1826"/>
      <c r="AW413" s="1826"/>
      <c r="AX413" s="1826"/>
      <c r="AY413" s="1826"/>
      <c r="AZ413" s="1826"/>
      <c r="BA413" s="1826"/>
      <c r="BB413" s="1826"/>
      <c r="BC413" s="1826"/>
      <c r="BD413" s="1826"/>
      <c r="BE413" s="1826"/>
      <c r="BF413" s="1826"/>
      <c r="BG413" s="1639"/>
    </row>
    <row customHeight="1" ht="0.75">
      <c r="A414" s="1170" t="s">
        <v>1246</v>
      </c>
      <c r="B414" s="1170"/>
      <c r="C414" s="1170"/>
      <c r="D414" s="1164"/>
      <c r="E414" s="1174"/>
      <c r="F414" s="2553"/>
      <c r="G414" s="2532"/>
      <c r="H414" s="2557"/>
      <c r="I414" s="2558"/>
      <c r="J414" s="2559"/>
      <c r="K414" s="2559"/>
      <c r="L414" s="2551"/>
      <c r="M414" s="2285"/>
      <c r="N414" s="2560"/>
      <c r="O414" s="2561"/>
      <c r="P414" s="2606"/>
      <c r="Q414" s="2556"/>
      <c r="R414" s="2556"/>
      <c r="S414" s="2556"/>
      <c r="T414" s="2556"/>
      <c r="U414" s="2556"/>
      <c r="V414" s="2556"/>
      <c r="W414" s="2556"/>
      <c r="X414" s="2556"/>
      <c r="Y414" s="2556"/>
      <c r="Z414" s="2042"/>
      <c r="AA414" s="2043"/>
      <c r="AB414" s="2044"/>
      <c r="AC414" s="2045"/>
      <c r="AD414" s="2044"/>
      <c r="AE414" s="2045"/>
      <c r="AF414" s="2555"/>
      <c r="AG414" s="2551"/>
      <c r="AH414" s="2551"/>
      <c r="AI414" s="2555"/>
      <c r="AJ414" s="2551"/>
      <c r="AK414" s="2551"/>
      <c r="AL414" s="1989"/>
      <c r="AM414" s="1826"/>
      <c r="AN414" s="1826"/>
      <c r="AO414" s="1826"/>
      <c r="AP414" s="1826"/>
      <c r="AQ414" s="1826"/>
      <c r="AR414" s="1826"/>
      <c r="AS414" s="1826"/>
      <c r="AT414" s="1826"/>
      <c r="AU414" s="1826"/>
      <c r="AV414" s="1826"/>
      <c r="AW414" s="1826"/>
      <c r="AX414" s="1826"/>
      <c r="AY414" s="1826"/>
      <c r="AZ414" s="1826"/>
      <c r="BA414" s="1826"/>
      <c r="BB414" s="1826"/>
      <c r="BC414" s="1826"/>
      <c r="BD414" s="1826"/>
      <c r="BE414" s="1826"/>
      <c r="BF414" s="1826"/>
      <c r="BG414" s="1639"/>
    </row>
    <row customHeight="1" ht="0.75">
      <c r="A415" s="1170" t="s">
        <v>1246</v>
      </c>
      <c r="B415" s="1170"/>
      <c r="C415" s="1170"/>
      <c r="D415" s="1164"/>
      <c r="E415" s="1174"/>
      <c r="F415" s="2553"/>
      <c r="G415" s="2532"/>
      <c r="H415" s="2557"/>
      <c r="I415" s="2558"/>
      <c r="J415" s="2559"/>
      <c r="K415" s="2559"/>
      <c r="L415" s="2551"/>
      <c r="M415" s="2285"/>
      <c r="N415" s="2560"/>
      <c r="O415" s="2561"/>
      <c r="P415" s="2607"/>
      <c r="Q415" s="2556"/>
      <c r="R415" s="2556"/>
      <c r="S415" s="2556"/>
      <c r="T415" s="2556"/>
      <c r="U415" s="2556"/>
      <c r="V415" s="2556"/>
      <c r="W415" s="2556"/>
      <c r="X415" s="2556"/>
      <c r="Y415" s="2556"/>
      <c r="Z415" s="2038"/>
      <c r="AA415" s="2039"/>
      <c r="AB415" s="2046"/>
      <c r="AC415" s="2040"/>
      <c r="AD415" s="2040"/>
      <c r="AE415" s="2047"/>
      <c r="AF415" s="2555"/>
      <c r="AG415" s="2551"/>
      <c r="AH415" s="2551"/>
      <c r="AI415" s="2555"/>
      <c r="AJ415" s="2551"/>
      <c r="AK415" s="2551"/>
      <c r="AL415" s="1989"/>
      <c r="AM415" s="1826"/>
      <c r="AN415" s="1826"/>
      <c r="AO415" s="1826"/>
      <c r="AP415" s="1826"/>
      <c r="AQ415" s="1826"/>
      <c r="AR415" s="1826"/>
      <c r="AS415" s="1826"/>
      <c r="AT415" s="1826"/>
      <c r="AU415" s="1826"/>
      <c r="AV415" s="1826"/>
      <c r="AW415" s="1826"/>
      <c r="AX415" s="1826"/>
      <c r="AY415" s="1826"/>
      <c r="AZ415" s="1826"/>
      <c r="BA415" s="1826"/>
      <c r="BB415" s="1826"/>
      <c r="BC415" s="1826"/>
      <c r="BD415" s="1826"/>
      <c r="BE415" s="1826"/>
      <c r="BF415" s="1826"/>
      <c r="BG415" s="1639"/>
    </row>
    <row customHeight="1" ht="0.75">
      <c r="A416" s="1170" t="s">
        <v>1246</v>
      </c>
      <c r="B416" s="1170"/>
      <c r="C416" s="1170"/>
      <c r="D416" s="1164"/>
      <c r="E416" s="1174"/>
      <c r="F416" s="2553"/>
      <c r="G416" s="2532"/>
      <c r="H416" s="2557"/>
      <c r="I416" s="2558"/>
      <c r="J416" s="2559"/>
      <c r="K416" s="2559"/>
      <c r="L416" s="2551"/>
      <c r="M416" s="2285"/>
      <c r="N416" s="2039"/>
      <c r="O416" s="2039"/>
      <c r="P416" s="2046"/>
      <c r="Q416" s="2039"/>
      <c r="R416" s="2039"/>
      <c r="S416" s="2039"/>
      <c r="T416" s="2039"/>
      <c r="U416" s="2039"/>
      <c r="V416" s="2039"/>
      <c r="W416" s="2039"/>
      <c r="X416" s="2039"/>
      <c r="Y416" s="2039"/>
      <c r="Z416" s="2039"/>
      <c r="AA416" s="2039"/>
      <c r="AB416" s="2039"/>
      <c r="AC416" s="2039"/>
      <c r="AD416" s="2039"/>
      <c r="AE416" s="2048"/>
      <c r="AF416" s="2555"/>
      <c r="AG416" s="2551"/>
      <c r="AH416" s="2551"/>
      <c r="AI416" s="2555"/>
      <c r="AJ416" s="2551"/>
      <c r="AK416" s="2551"/>
      <c r="AL416" s="1989"/>
      <c r="AM416" s="1826"/>
      <c r="AN416" s="1826"/>
      <c r="AO416" s="1826"/>
      <c r="AP416" s="1826"/>
      <c r="AQ416" s="1826"/>
      <c r="AR416" s="1826"/>
      <c r="AS416" s="1826"/>
      <c r="AT416" s="1826"/>
      <c r="AU416" s="1826"/>
      <c r="AV416" s="1826"/>
      <c r="AW416" s="1826"/>
      <c r="AX416" s="1826"/>
      <c r="AY416" s="1826"/>
      <c r="AZ416" s="1826"/>
      <c r="BA416" s="1826"/>
      <c r="BB416" s="1826"/>
      <c r="BC416" s="1826"/>
      <c r="BD416" s="1826"/>
      <c r="BE416" s="1826"/>
      <c r="BF416" s="1826"/>
      <c r="BG416" s="1639"/>
    </row>
    <row customHeight="1" ht="12">
      <c r="A417" s="1170" t="s">
        <v>1246</v>
      </c>
      <c r="B417" s="1170"/>
      <c r="C417" s="1170"/>
      <c r="D417" s="1164"/>
      <c r="E417" s="1174"/>
      <c r="F417" s="2554"/>
      <c r="G417" s="1194"/>
      <c r="H417" s="1194"/>
      <c r="I417" s="2552" t="s">
        <v>1300</v>
      </c>
      <c r="J417" s="2552"/>
      <c r="K417" s="2552"/>
      <c r="L417" s="1177"/>
      <c r="M417" s="1177"/>
      <c r="N417" s="1178"/>
      <c r="O417" s="1178"/>
      <c r="P417" s="1178"/>
      <c r="Q417" s="1178"/>
      <c r="R417" s="1178"/>
      <c r="S417" s="1178"/>
      <c r="T417" s="1178"/>
      <c r="U417" s="1178"/>
      <c r="V417" s="1178"/>
      <c r="W417" s="1178"/>
      <c r="X417" s="1178"/>
      <c r="Y417" s="1178"/>
      <c r="Z417" s="1178"/>
      <c r="AA417" s="1178"/>
      <c r="AB417" s="1178"/>
      <c r="AC417" s="1178"/>
      <c r="AD417" s="1178"/>
      <c r="AE417" s="1178"/>
      <c r="AF417" s="1178"/>
      <c r="AG417" s="1177"/>
      <c r="AH417" s="1177"/>
      <c r="AI417" s="1178"/>
      <c r="AJ417" s="1177"/>
      <c r="AK417" s="1178"/>
      <c r="AL417" s="1989"/>
      <c r="AM417" s="1826"/>
      <c r="AN417" s="1826"/>
      <c r="AO417" s="1826"/>
      <c r="AP417" s="1826"/>
      <c r="AQ417" s="1826"/>
      <c r="AR417" s="1826"/>
      <c r="AS417" s="1826"/>
      <c r="AT417" s="1826"/>
      <c r="AU417" s="1826"/>
      <c r="AV417" s="1826"/>
      <c r="AW417" s="1826"/>
      <c r="AX417" s="1826"/>
      <c r="AY417" s="1826"/>
      <c r="AZ417" s="1826"/>
      <c r="BA417" s="1826"/>
      <c r="BB417" s="1826"/>
      <c r="BC417" s="1826"/>
      <c r="BD417" s="1826"/>
      <c r="BE417" s="1826"/>
      <c r="BF417" s="1826"/>
      <c r="BG417" s="1639"/>
    </row>
    <row customHeight="1" ht="0.75">
      <c r="A418" s="1170" t="s">
        <v>1246</v>
      </c>
      <c r="B418" s="1170"/>
      <c r="C418" s="1170"/>
      <c r="D418" s="1164"/>
      <c r="E418" s="1174"/>
      <c r="F418" s="2553">
        <v>2026</v>
      </c>
      <c r="G418" s="2532"/>
      <c r="H418" s="2557" t="s">
        <v>514</v>
      </c>
      <c r="I418" s="2558"/>
      <c r="J418" s="2559"/>
      <c r="K418" s="2559"/>
      <c r="L418" s="2551"/>
      <c r="M418" s="2285"/>
      <c r="N418" s="2037"/>
      <c r="O418" s="2036"/>
      <c r="P418" s="2037"/>
      <c r="Q418" s="2037"/>
      <c r="R418" s="2037"/>
      <c r="S418" s="2037"/>
      <c r="T418" s="2037"/>
      <c r="U418" s="2037"/>
      <c r="V418" s="2037"/>
      <c r="W418" s="2037"/>
      <c r="X418" s="2037"/>
      <c r="Y418" s="2037"/>
      <c r="Z418" s="2037"/>
      <c r="AA418" s="2037"/>
      <c r="AB418" s="2037"/>
      <c r="AC418" s="2037"/>
      <c r="AD418" s="2037"/>
      <c r="AE418" s="2037"/>
      <c r="AF418" s="2555"/>
      <c r="AG418" s="2551"/>
      <c r="AH418" s="2551"/>
      <c r="AI418" s="2555"/>
      <c r="AJ418" s="2551"/>
      <c r="AK418" s="2551"/>
      <c r="AL418" s="1989"/>
      <c r="AM418" s="1826"/>
      <c r="AN418" s="1826"/>
      <c r="AO418" s="1826"/>
      <c r="AP418" s="1826"/>
      <c r="AQ418" s="1826"/>
      <c r="AR418" s="1826"/>
      <c r="AS418" s="1826"/>
      <c r="AT418" s="1826"/>
      <c r="AU418" s="1826"/>
      <c r="AV418" s="1826"/>
      <c r="AW418" s="1826"/>
      <c r="AX418" s="1826"/>
      <c r="AY418" s="1826"/>
      <c r="AZ418" s="1826"/>
      <c r="BA418" s="1826"/>
      <c r="BB418" s="1826"/>
      <c r="BC418" s="1826"/>
      <c r="BD418" s="1826"/>
      <c r="BE418" s="1826"/>
      <c r="BF418" s="1826"/>
      <c r="BG418" s="1639"/>
    </row>
    <row customHeight="1" ht="0.75">
      <c r="A419" s="1170" t="s">
        <v>1246</v>
      </c>
      <c r="B419" s="1170"/>
      <c r="C419" s="1170"/>
      <c r="D419" s="1164"/>
      <c r="E419" s="1174"/>
      <c r="F419" s="2553"/>
      <c r="G419" s="2532"/>
      <c r="H419" s="2557"/>
      <c r="I419" s="2558"/>
      <c r="J419" s="2559"/>
      <c r="K419" s="2559"/>
      <c r="L419" s="2551"/>
      <c r="M419" s="2285"/>
      <c r="N419" s="2560"/>
      <c r="O419" s="2561"/>
      <c r="P419" s="2605"/>
      <c r="Q419" s="2556"/>
      <c r="R419" s="2556"/>
      <c r="S419" s="2556"/>
      <c r="T419" s="2556"/>
      <c r="U419" s="2556"/>
      <c r="V419" s="2556"/>
      <c r="W419" s="2556"/>
      <c r="X419" s="2556"/>
      <c r="Y419" s="2556"/>
      <c r="Z419" s="2038"/>
      <c r="AA419" s="2039"/>
      <c r="AB419" s="2039"/>
      <c r="AC419" s="2040"/>
      <c r="AD419" s="2040"/>
      <c r="AE419" s="2041"/>
      <c r="AF419" s="2555"/>
      <c r="AG419" s="2551"/>
      <c r="AH419" s="2551"/>
      <c r="AI419" s="2555"/>
      <c r="AJ419" s="2551"/>
      <c r="AK419" s="2551"/>
      <c r="AL419" s="1989"/>
      <c r="AM419" s="1826"/>
      <c r="AN419" s="1826"/>
      <c r="AO419" s="1826"/>
      <c r="AP419" s="1826"/>
      <c r="AQ419" s="1826"/>
      <c r="AR419" s="1826"/>
      <c r="AS419" s="1826"/>
      <c r="AT419" s="1826"/>
      <c r="AU419" s="1826"/>
      <c r="AV419" s="1826"/>
      <c r="AW419" s="1826"/>
      <c r="AX419" s="1826"/>
      <c r="AY419" s="1826"/>
      <c r="AZ419" s="1826"/>
      <c r="BA419" s="1826"/>
      <c r="BB419" s="1826"/>
      <c r="BC419" s="1826"/>
      <c r="BD419" s="1826"/>
      <c r="BE419" s="1826"/>
      <c r="BF419" s="1826"/>
      <c r="BG419" s="1639"/>
    </row>
    <row customHeight="1" ht="0.75">
      <c r="A420" s="1170" t="s">
        <v>1246</v>
      </c>
      <c r="B420" s="1170"/>
      <c r="C420" s="1170"/>
      <c r="D420" s="1164"/>
      <c r="E420" s="1174"/>
      <c r="F420" s="2553"/>
      <c r="G420" s="2532"/>
      <c r="H420" s="2557"/>
      <c r="I420" s="2558"/>
      <c r="J420" s="2559"/>
      <c r="K420" s="2559"/>
      <c r="L420" s="2551"/>
      <c r="M420" s="2285"/>
      <c r="N420" s="2560"/>
      <c r="O420" s="2561"/>
      <c r="P420" s="2606"/>
      <c r="Q420" s="2556"/>
      <c r="R420" s="2556"/>
      <c r="S420" s="2556"/>
      <c r="T420" s="2556"/>
      <c r="U420" s="2556"/>
      <c r="V420" s="2556"/>
      <c r="W420" s="2556"/>
      <c r="X420" s="2556"/>
      <c r="Y420" s="2556"/>
      <c r="Z420" s="2042"/>
      <c r="AA420" s="2043"/>
      <c r="AB420" s="2044"/>
      <c r="AC420" s="2045"/>
      <c r="AD420" s="2044"/>
      <c r="AE420" s="2045"/>
      <c r="AF420" s="2555"/>
      <c r="AG420" s="2551"/>
      <c r="AH420" s="2551"/>
      <c r="AI420" s="2555"/>
      <c r="AJ420" s="2551"/>
      <c r="AK420" s="2551"/>
      <c r="AL420" s="1989"/>
      <c r="AM420" s="1826"/>
      <c r="AN420" s="1826"/>
      <c r="AO420" s="1826"/>
      <c r="AP420" s="1826"/>
      <c r="AQ420" s="1826"/>
      <c r="AR420" s="1826"/>
      <c r="AS420" s="1826"/>
      <c r="AT420" s="1826"/>
      <c r="AU420" s="1826"/>
      <c r="AV420" s="1826"/>
      <c r="AW420" s="1826"/>
      <c r="AX420" s="1826"/>
      <c r="AY420" s="1826"/>
      <c r="AZ420" s="1826"/>
      <c r="BA420" s="1826"/>
      <c r="BB420" s="1826"/>
      <c r="BC420" s="1826"/>
      <c r="BD420" s="1826"/>
      <c r="BE420" s="1826"/>
      <c r="BF420" s="1826"/>
      <c r="BG420" s="1639"/>
    </row>
    <row customHeight="1" ht="0.75">
      <c r="A421" s="1170" t="s">
        <v>1246</v>
      </c>
      <c r="B421" s="1170"/>
      <c r="C421" s="1170"/>
      <c r="D421" s="1164"/>
      <c r="E421" s="1174"/>
      <c r="F421" s="2553"/>
      <c r="G421" s="2532"/>
      <c r="H421" s="2557"/>
      <c r="I421" s="2558"/>
      <c r="J421" s="2559"/>
      <c r="K421" s="2559"/>
      <c r="L421" s="2551"/>
      <c r="M421" s="2285"/>
      <c r="N421" s="2560"/>
      <c r="O421" s="2561"/>
      <c r="P421" s="2607"/>
      <c r="Q421" s="2556"/>
      <c r="R421" s="2556"/>
      <c r="S421" s="2556"/>
      <c r="T421" s="2556"/>
      <c r="U421" s="2556"/>
      <c r="V421" s="2556"/>
      <c r="W421" s="2556"/>
      <c r="X421" s="2556"/>
      <c r="Y421" s="2556"/>
      <c r="Z421" s="2038"/>
      <c r="AA421" s="2039"/>
      <c r="AB421" s="2046"/>
      <c r="AC421" s="2040"/>
      <c r="AD421" s="2040"/>
      <c r="AE421" s="2047"/>
      <c r="AF421" s="2555"/>
      <c r="AG421" s="2551"/>
      <c r="AH421" s="2551"/>
      <c r="AI421" s="2555"/>
      <c r="AJ421" s="2551"/>
      <c r="AK421" s="2551"/>
      <c r="AL421" s="1989"/>
      <c r="AM421" s="1826"/>
      <c r="AN421" s="1826"/>
      <c r="AO421" s="1826"/>
      <c r="AP421" s="1826"/>
      <c r="AQ421" s="1826"/>
      <c r="AR421" s="1826"/>
      <c r="AS421" s="1826"/>
      <c r="AT421" s="1826"/>
      <c r="AU421" s="1826"/>
      <c r="AV421" s="1826"/>
      <c r="AW421" s="1826"/>
      <c r="AX421" s="1826"/>
      <c r="AY421" s="1826"/>
      <c r="AZ421" s="1826"/>
      <c r="BA421" s="1826"/>
      <c r="BB421" s="1826"/>
      <c r="BC421" s="1826"/>
      <c r="BD421" s="1826"/>
      <c r="BE421" s="1826"/>
      <c r="BF421" s="1826"/>
      <c r="BG421" s="1639"/>
    </row>
    <row customHeight="1" ht="0.75">
      <c r="A422" s="1170" t="s">
        <v>1246</v>
      </c>
      <c r="B422" s="1170"/>
      <c r="C422" s="1170"/>
      <c r="D422" s="1164"/>
      <c r="E422" s="1174"/>
      <c r="F422" s="2553"/>
      <c r="G422" s="2532"/>
      <c r="H422" s="2557"/>
      <c r="I422" s="2558"/>
      <c r="J422" s="2559"/>
      <c r="K422" s="2559"/>
      <c r="L422" s="2551"/>
      <c r="M422" s="2285"/>
      <c r="N422" s="2039"/>
      <c r="O422" s="2039"/>
      <c r="P422" s="2046"/>
      <c r="Q422" s="2039"/>
      <c r="R422" s="2039"/>
      <c r="S422" s="2039"/>
      <c r="T422" s="2039"/>
      <c r="U422" s="2039"/>
      <c r="V422" s="2039"/>
      <c r="W422" s="2039"/>
      <c r="X422" s="2039"/>
      <c r="Y422" s="2039"/>
      <c r="Z422" s="2039"/>
      <c r="AA422" s="2039"/>
      <c r="AB422" s="2039"/>
      <c r="AC422" s="2039"/>
      <c r="AD422" s="2039"/>
      <c r="AE422" s="2048"/>
      <c r="AF422" s="2555"/>
      <c r="AG422" s="2551"/>
      <c r="AH422" s="2551"/>
      <c r="AI422" s="2555"/>
      <c r="AJ422" s="2551"/>
      <c r="AK422" s="2551"/>
      <c r="AL422" s="1989"/>
      <c r="AM422" s="1826"/>
      <c r="AN422" s="1826"/>
      <c r="AO422" s="1826"/>
      <c r="AP422" s="1826"/>
      <c r="AQ422" s="1826"/>
      <c r="AR422" s="1826"/>
      <c r="AS422" s="1826"/>
      <c r="AT422" s="1826"/>
      <c r="AU422" s="1826"/>
      <c r="AV422" s="1826"/>
      <c r="AW422" s="1826"/>
      <c r="AX422" s="1826"/>
      <c r="AY422" s="1826"/>
      <c r="AZ422" s="1826"/>
      <c r="BA422" s="1826"/>
      <c r="BB422" s="1826"/>
      <c r="BC422" s="1826"/>
      <c r="BD422" s="1826"/>
      <c r="BE422" s="1826"/>
      <c r="BF422" s="1826"/>
      <c r="BG422" s="1639"/>
    </row>
    <row customHeight="1" ht="12">
      <c r="A423" s="1170" t="s">
        <v>1246</v>
      </c>
      <c r="B423" s="1170"/>
      <c r="C423" s="1170"/>
      <c r="D423" s="1164"/>
      <c r="E423" s="1174"/>
      <c r="F423" s="2554"/>
      <c r="G423" s="1194"/>
      <c r="H423" s="1194"/>
      <c r="I423" s="2552" t="s">
        <v>1300</v>
      </c>
      <c r="J423" s="2552"/>
      <c r="K423" s="2552"/>
      <c r="L423" s="1177"/>
      <c r="M423" s="1177"/>
      <c r="N423" s="1178"/>
      <c r="O423" s="1178"/>
      <c r="P423" s="1178"/>
      <c r="Q423" s="1178"/>
      <c r="R423" s="1178"/>
      <c r="S423" s="1178"/>
      <c r="T423" s="1178"/>
      <c r="U423" s="1178"/>
      <c r="V423" s="1178"/>
      <c r="W423" s="1178"/>
      <c r="X423" s="1178"/>
      <c r="Y423" s="1178"/>
      <c r="Z423" s="1178"/>
      <c r="AA423" s="1178"/>
      <c r="AB423" s="1178"/>
      <c r="AC423" s="1178"/>
      <c r="AD423" s="1178"/>
      <c r="AE423" s="1178"/>
      <c r="AF423" s="1178"/>
      <c r="AG423" s="1177"/>
      <c r="AH423" s="1177"/>
      <c r="AI423" s="1178"/>
      <c r="AJ423" s="1177"/>
      <c r="AK423" s="1178"/>
      <c r="AL423" s="1989"/>
      <c r="AM423" s="1826"/>
      <c r="AN423" s="1826"/>
      <c r="AO423" s="1826"/>
      <c r="AP423" s="1826"/>
      <c r="AQ423" s="1826"/>
      <c r="AR423" s="1826"/>
      <c r="AS423" s="1826"/>
      <c r="AT423" s="1826"/>
      <c r="AU423" s="1826"/>
      <c r="AV423" s="1826"/>
      <c r="AW423" s="1826"/>
      <c r="AX423" s="1826"/>
      <c r="AY423" s="1826"/>
      <c r="AZ423" s="1826"/>
      <c r="BA423" s="1826"/>
      <c r="BB423" s="1826"/>
      <c r="BC423" s="1826"/>
      <c r="BD423" s="1826"/>
      <c r="BE423" s="1826"/>
      <c r="BF423" s="1826"/>
      <c r="BG423" s="1639"/>
    </row>
    <row customHeight="1" ht="0.75">
      <c r="A424" s="1170" t="s">
        <v>1246</v>
      </c>
      <c r="B424" s="1170"/>
      <c r="C424" s="1170"/>
      <c r="D424" s="1164"/>
      <c r="E424" s="1174"/>
      <c r="F424" s="2553">
        <v>2027</v>
      </c>
      <c r="G424" s="2532"/>
      <c r="H424" s="2557" t="s">
        <v>514</v>
      </c>
      <c r="I424" s="2558"/>
      <c r="J424" s="2559"/>
      <c r="K424" s="2559"/>
      <c r="L424" s="2551"/>
      <c r="M424" s="2285"/>
      <c r="N424" s="2037"/>
      <c r="O424" s="2036"/>
      <c r="P424" s="2037"/>
      <c r="Q424" s="2037"/>
      <c r="R424" s="2037"/>
      <c r="S424" s="2037"/>
      <c r="T424" s="2037"/>
      <c r="U424" s="2037"/>
      <c r="V424" s="2037"/>
      <c r="W424" s="2037"/>
      <c r="X424" s="2037"/>
      <c r="Y424" s="2037"/>
      <c r="Z424" s="2037"/>
      <c r="AA424" s="2037"/>
      <c r="AB424" s="2037"/>
      <c r="AC424" s="2037"/>
      <c r="AD424" s="2037"/>
      <c r="AE424" s="2037"/>
      <c r="AF424" s="2555"/>
      <c r="AG424" s="2551"/>
      <c r="AH424" s="2551"/>
      <c r="AI424" s="2555"/>
      <c r="AJ424" s="2551"/>
      <c r="AK424" s="2551"/>
      <c r="AL424" s="1989"/>
      <c r="AM424" s="1826"/>
      <c r="AN424" s="1826"/>
      <c r="AO424" s="1826"/>
      <c r="AP424" s="1826"/>
      <c r="AQ424" s="1826"/>
      <c r="AR424" s="1826"/>
      <c r="AS424" s="1826"/>
      <c r="AT424" s="1826"/>
      <c r="AU424" s="1826"/>
      <c r="AV424" s="1826"/>
      <c r="AW424" s="1826"/>
      <c r="AX424" s="1826"/>
      <c r="AY424" s="1826"/>
      <c r="AZ424" s="1826"/>
      <c r="BA424" s="1826"/>
      <c r="BB424" s="1826"/>
      <c r="BC424" s="1826"/>
      <c r="BD424" s="1826"/>
      <c r="BE424" s="1826"/>
      <c r="BF424" s="1826"/>
      <c r="BG424" s="1639"/>
    </row>
    <row customHeight="1" ht="0.75">
      <c r="A425" s="1170" t="s">
        <v>1246</v>
      </c>
      <c r="B425" s="1170"/>
      <c r="C425" s="1170"/>
      <c r="D425" s="1164"/>
      <c r="E425" s="1174"/>
      <c r="F425" s="2553"/>
      <c r="G425" s="2532"/>
      <c r="H425" s="2557"/>
      <c r="I425" s="2558"/>
      <c r="J425" s="2559"/>
      <c r="K425" s="2559"/>
      <c r="L425" s="2551"/>
      <c r="M425" s="2285"/>
      <c r="N425" s="2560"/>
      <c r="O425" s="2561"/>
      <c r="P425" s="2605"/>
      <c r="Q425" s="2556"/>
      <c r="R425" s="2556"/>
      <c r="S425" s="2556"/>
      <c r="T425" s="2556"/>
      <c r="U425" s="2556"/>
      <c r="V425" s="2556"/>
      <c r="W425" s="2556"/>
      <c r="X425" s="2556"/>
      <c r="Y425" s="2556"/>
      <c r="Z425" s="2038"/>
      <c r="AA425" s="2039"/>
      <c r="AB425" s="2039"/>
      <c r="AC425" s="2040"/>
      <c r="AD425" s="2040"/>
      <c r="AE425" s="2041"/>
      <c r="AF425" s="2555"/>
      <c r="AG425" s="2551"/>
      <c r="AH425" s="2551"/>
      <c r="AI425" s="2555"/>
      <c r="AJ425" s="2551"/>
      <c r="AK425" s="2551"/>
      <c r="AL425" s="1989"/>
      <c r="AM425" s="1826"/>
      <c r="AN425" s="1826"/>
      <c r="AO425" s="1826"/>
      <c r="AP425" s="1826"/>
      <c r="AQ425" s="1826"/>
      <c r="AR425" s="1826"/>
      <c r="AS425" s="1826"/>
      <c r="AT425" s="1826"/>
      <c r="AU425" s="1826"/>
      <c r="AV425" s="1826"/>
      <c r="AW425" s="1826"/>
      <c r="AX425" s="1826"/>
      <c r="AY425" s="1826"/>
      <c r="AZ425" s="1826"/>
      <c r="BA425" s="1826"/>
      <c r="BB425" s="1826"/>
      <c r="BC425" s="1826"/>
      <c r="BD425" s="1826"/>
      <c r="BE425" s="1826"/>
      <c r="BF425" s="1826"/>
      <c r="BG425" s="1639"/>
    </row>
    <row customHeight="1" ht="0.75">
      <c r="A426" s="1170" t="s">
        <v>1246</v>
      </c>
      <c r="B426" s="1170"/>
      <c r="C426" s="1170"/>
      <c r="D426" s="1164"/>
      <c r="E426" s="1174"/>
      <c r="F426" s="2553"/>
      <c r="G426" s="2532"/>
      <c r="H426" s="2557"/>
      <c r="I426" s="2558"/>
      <c r="J426" s="2559"/>
      <c r="K426" s="2559"/>
      <c r="L426" s="2551"/>
      <c r="M426" s="2285"/>
      <c r="N426" s="2560"/>
      <c r="O426" s="2561"/>
      <c r="P426" s="2606"/>
      <c r="Q426" s="2556"/>
      <c r="R426" s="2556"/>
      <c r="S426" s="2556"/>
      <c r="T426" s="2556"/>
      <c r="U426" s="2556"/>
      <c r="V426" s="2556"/>
      <c r="W426" s="2556"/>
      <c r="X426" s="2556"/>
      <c r="Y426" s="2556"/>
      <c r="Z426" s="2042"/>
      <c r="AA426" s="2043"/>
      <c r="AB426" s="2044"/>
      <c r="AC426" s="2045"/>
      <c r="AD426" s="2044"/>
      <c r="AE426" s="2045"/>
      <c r="AF426" s="2555"/>
      <c r="AG426" s="2551"/>
      <c r="AH426" s="2551"/>
      <c r="AI426" s="2555"/>
      <c r="AJ426" s="2551"/>
      <c r="AK426" s="2551"/>
      <c r="AL426" s="1989"/>
      <c r="AM426" s="1826"/>
      <c r="AN426" s="1826"/>
      <c r="AO426" s="1826"/>
      <c r="AP426" s="1826"/>
      <c r="AQ426" s="1826"/>
      <c r="AR426" s="1826"/>
      <c r="AS426" s="1826"/>
      <c r="AT426" s="1826"/>
      <c r="AU426" s="1826"/>
      <c r="AV426" s="1826"/>
      <c r="AW426" s="1826"/>
      <c r="AX426" s="1826"/>
      <c r="AY426" s="1826"/>
      <c r="AZ426" s="1826"/>
      <c r="BA426" s="1826"/>
      <c r="BB426" s="1826"/>
      <c r="BC426" s="1826"/>
      <c r="BD426" s="1826"/>
      <c r="BE426" s="1826"/>
      <c r="BF426" s="1826"/>
      <c r="BG426" s="1639"/>
    </row>
    <row customHeight="1" ht="0.75">
      <c r="A427" s="1170" t="s">
        <v>1246</v>
      </c>
      <c r="B427" s="1170"/>
      <c r="C427" s="1170"/>
      <c r="D427" s="1164"/>
      <c r="E427" s="1174"/>
      <c r="F427" s="2553"/>
      <c r="G427" s="2532"/>
      <c r="H427" s="2557"/>
      <c r="I427" s="2558"/>
      <c r="J427" s="2559"/>
      <c r="K427" s="2559"/>
      <c r="L427" s="2551"/>
      <c r="M427" s="2285"/>
      <c r="N427" s="2560"/>
      <c r="O427" s="2561"/>
      <c r="P427" s="2607"/>
      <c r="Q427" s="2556"/>
      <c r="R427" s="2556"/>
      <c r="S427" s="2556"/>
      <c r="T427" s="2556"/>
      <c r="U427" s="2556"/>
      <c r="V427" s="2556"/>
      <c r="W427" s="2556"/>
      <c r="X427" s="2556"/>
      <c r="Y427" s="2556"/>
      <c r="Z427" s="2038"/>
      <c r="AA427" s="2039"/>
      <c r="AB427" s="2046"/>
      <c r="AC427" s="2040"/>
      <c r="AD427" s="2040"/>
      <c r="AE427" s="2047"/>
      <c r="AF427" s="2555"/>
      <c r="AG427" s="2551"/>
      <c r="AH427" s="2551"/>
      <c r="AI427" s="2555"/>
      <c r="AJ427" s="2551"/>
      <c r="AK427" s="2551"/>
      <c r="AL427" s="1989"/>
      <c r="AM427" s="1826"/>
      <c r="AN427" s="1826"/>
      <c r="AO427" s="1826"/>
      <c r="AP427" s="1826"/>
      <c r="AQ427" s="1826"/>
      <c r="AR427" s="1826"/>
      <c r="AS427" s="1826"/>
      <c r="AT427" s="1826"/>
      <c r="AU427" s="1826"/>
      <c r="AV427" s="1826"/>
      <c r="AW427" s="1826"/>
      <c r="AX427" s="1826"/>
      <c r="AY427" s="1826"/>
      <c r="AZ427" s="1826"/>
      <c r="BA427" s="1826"/>
      <c r="BB427" s="1826"/>
      <c r="BC427" s="1826"/>
      <c r="BD427" s="1826"/>
      <c r="BE427" s="1826"/>
      <c r="BF427" s="1826"/>
      <c r="BG427" s="1639"/>
    </row>
    <row customHeight="1" ht="0.75">
      <c r="A428" s="1170" t="s">
        <v>1246</v>
      </c>
      <c r="B428" s="1170"/>
      <c r="C428" s="1170"/>
      <c r="D428" s="1164"/>
      <c r="E428" s="1174"/>
      <c r="F428" s="2553"/>
      <c r="G428" s="2532"/>
      <c r="H428" s="2557"/>
      <c r="I428" s="2558"/>
      <c r="J428" s="2559"/>
      <c r="K428" s="2559"/>
      <c r="L428" s="2551"/>
      <c r="M428" s="2285"/>
      <c r="N428" s="2039"/>
      <c r="O428" s="2039"/>
      <c r="P428" s="2046"/>
      <c r="Q428" s="2039"/>
      <c r="R428" s="2039"/>
      <c r="S428" s="2039"/>
      <c r="T428" s="2039"/>
      <c r="U428" s="2039"/>
      <c r="V428" s="2039"/>
      <c r="W428" s="2039"/>
      <c r="X428" s="2039"/>
      <c r="Y428" s="2039"/>
      <c r="Z428" s="2039"/>
      <c r="AA428" s="2039"/>
      <c r="AB428" s="2039"/>
      <c r="AC428" s="2039"/>
      <c r="AD428" s="2039"/>
      <c r="AE428" s="2048"/>
      <c r="AF428" s="2555"/>
      <c r="AG428" s="2551"/>
      <c r="AH428" s="2551"/>
      <c r="AI428" s="2555"/>
      <c r="AJ428" s="2551"/>
      <c r="AK428" s="2551"/>
      <c r="AL428" s="1989"/>
      <c r="AM428" s="1826"/>
      <c r="AN428" s="1826"/>
      <c r="AO428" s="1826"/>
      <c r="AP428" s="1826"/>
      <c r="AQ428" s="1826"/>
      <c r="AR428" s="1826"/>
      <c r="AS428" s="1826"/>
      <c r="AT428" s="1826"/>
      <c r="AU428" s="1826"/>
      <c r="AV428" s="1826"/>
      <c r="AW428" s="1826"/>
      <c r="AX428" s="1826"/>
      <c r="AY428" s="1826"/>
      <c r="AZ428" s="1826"/>
      <c r="BA428" s="1826"/>
      <c r="BB428" s="1826"/>
      <c r="BC428" s="1826"/>
      <c r="BD428" s="1826"/>
      <c r="BE428" s="1826"/>
      <c r="BF428" s="1826"/>
      <c r="BG428" s="1639"/>
    </row>
    <row customHeight="1" ht="12">
      <c r="A429" s="1170" t="s">
        <v>1246</v>
      </c>
      <c r="B429" s="1170"/>
      <c r="C429" s="1170"/>
      <c r="D429" s="1164"/>
      <c r="E429" s="1174"/>
      <c r="F429" s="2554"/>
      <c r="G429" s="1194"/>
      <c r="H429" s="1194"/>
      <c r="I429" s="2552" t="s">
        <v>1300</v>
      </c>
      <c r="J429" s="2552"/>
      <c r="K429" s="2552"/>
      <c r="L429" s="1177"/>
      <c r="M429" s="1177"/>
      <c r="N429" s="1178"/>
      <c r="O429" s="1178"/>
      <c r="P429" s="1178"/>
      <c r="Q429" s="1178"/>
      <c r="R429" s="1178"/>
      <c r="S429" s="1178"/>
      <c r="T429" s="1178"/>
      <c r="U429" s="1178"/>
      <c r="V429" s="1178"/>
      <c r="W429" s="1178"/>
      <c r="X429" s="1178"/>
      <c r="Y429" s="1178"/>
      <c r="Z429" s="1178"/>
      <c r="AA429" s="1178"/>
      <c r="AB429" s="1178"/>
      <c r="AC429" s="1178"/>
      <c r="AD429" s="1178"/>
      <c r="AE429" s="1178"/>
      <c r="AF429" s="1178"/>
      <c r="AG429" s="1177"/>
      <c r="AH429" s="1177"/>
      <c r="AI429" s="1178"/>
      <c r="AJ429" s="1177"/>
      <c r="AK429" s="1178"/>
      <c r="AL429" s="1989"/>
      <c r="AM429" s="1826"/>
      <c r="AN429" s="1826"/>
      <c r="AO429" s="1826"/>
      <c r="AP429" s="1826"/>
      <c r="AQ429" s="1826"/>
      <c r="AR429" s="1826"/>
      <c r="AS429" s="1826"/>
      <c r="AT429" s="1826"/>
      <c r="AU429" s="1826"/>
      <c r="AV429" s="1826"/>
      <c r="AW429" s="1826"/>
      <c r="AX429" s="1826"/>
      <c r="AY429" s="1826"/>
      <c r="AZ429" s="1826"/>
      <c r="BA429" s="1826"/>
      <c r="BB429" s="1826"/>
      <c r="BC429" s="1826"/>
      <c r="BD429" s="1826"/>
      <c r="BE429" s="1826"/>
      <c r="BF429" s="1826"/>
      <c r="BG429" s="1639"/>
    </row>
    <row customHeight="1" ht="0.75">
      <c r="A430" s="1170" t="s">
        <v>1246</v>
      </c>
      <c r="B430" s="1170"/>
      <c r="C430" s="1170"/>
      <c r="D430" s="1164"/>
      <c r="E430" s="1174"/>
      <c r="F430" s="2553">
        <v>2028</v>
      </c>
      <c r="G430" s="2532"/>
      <c r="H430" s="2557" t="s">
        <v>514</v>
      </c>
      <c r="I430" s="2558"/>
      <c r="J430" s="2559"/>
      <c r="K430" s="2559"/>
      <c r="L430" s="2551"/>
      <c r="M430" s="2285"/>
      <c r="N430" s="2037"/>
      <c r="O430" s="2036"/>
      <c r="P430" s="2037"/>
      <c r="Q430" s="2037"/>
      <c r="R430" s="2037"/>
      <c r="S430" s="2037"/>
      <c r="T430" s="2037"/>
      <c r="U430" s="2037"/>
      <c r="V430" s="2037"/>
      <c r="W430" s="2037"/>
      <c r="X430" s="2037"/>
      <c r="Y430" s="2037"/>
      <c r="Z430" s="2037"/>
      <c r="AA430" s="2037"/>
      <c r="AB430" s="2037"/>
      <c r="AC430" s="2037"/>
      <c r="AD430" s="2037"/>
      <c r="AE430" s="2037"/>
      <c r="AF430" s="2555"/>
      <c r="AG430" s="2551"/>
      <c r="AH430" s="2551"/>
      <c r="AI430" s="2555"/>
      <c r="AJ430" s="2551"/>
      <c r="AK430" s="2551"/>
      <c r="AL430" s="1989"/>
      <c r="AM430" s="1826"/>
      <c r="AN430" s="1826"/>
      <c r="AO430" s="1826"/>
      <c r="AP430" s="1826"/>
      <c r="AQ430" s="1826"/>
      <c r="AR430" s="1826"/>
      <c r="AS430" s="1826"/>
      <c r="AT430" s="1826"/>
      <c r="AU430" s="1826"/>
      <c r="AV430" s="1826"/>
      <c r="AW430" s="1826"/>
      <c r="AX430" s="1826"/>
      <c r="AY430" s="1826"/>
      <c r="AZ430" s="1826"/>
      <c r="BA430" s="1826"/>
      <c r="BB430" s="1826"/>
      <c r="BC430" s="1826"/>
      <c r="BD430" s="1826"/>
      <c r="BE430" s="1826"/>
      <c r="BF430" s="1826"/>
      <c r="BG430" s="1639"/>
    </row>
    <row customHeight="1" ht="0.75">
      <c r="A431" s="1170" t="s">
        <v>1246</v>
      </c>
      <c r="B431" s="1170"/>
      <c r="C431" s="1170"/>
      <c r="D431" s="1164"/>
      <c r="E431" s="1174"/>
      <c r="F431" s="2553"/>
      <c r="G431" s="2532"/>
      <c r="H431" s="2557"/>
      <c r="I431" s="2558"/>
      <c r="J431" s="2559"/>
      <c r="K431" s="2559"/>
      <c r="L431" s="2551"/>
      <c r="M431" s="2285"/>
      <c r="N431" s="2560"/>
      <c r="O431" s="2561"/>
      <c r="P431" s="2605"/>
      <c r="Q431" s="2556"/>
      <c r="R431" s="2556"/>
      <c r="S431" s="2556"/>
      <c r="T431" s="2556"/>
      <c r="U431" s="2556"/>
      <c r="V431" s="2556"/>
      <c r="W431" s="2556"/>
      <c r="X431" s="2556"/>
      <c r="Y431" s="2556"/>
      <c r="Z431" s="2038"/>
      <c r="AA431" s="2039"/>
      <c r="AB431" s="2039"/>
      <c r="AC431" s="2040"/>
      <c r="AD431" s="2040"/>
      <c r="AE431" s="2041"/>
      <c r="AF431" s="2555"/>
      <c r="AG431" s="2551"/>
      <c r="AH431" s="2551"/>
      <c r="AI431" s="2555"/>
      <c r="AJ431" s="2551"/>
      <c r="AK431" s="2551"/>
      <c r="AL431" s="1989"/>
      <c r="AM431" s="1826"/>
      <c r="AN431" s="1826"/>
      <c r="AO431" s="1826"/>
      <c r="AP431" s="1826"/>
      <c r="AQ431" s="1826"/>
      <c r="AR431" s="1826"/>
      <c r="AS431" s="1826"/>
      <c r="AT431" s="1826"/>
      <c r="AU431" s="1826"/>
      <c r="AV431" s="1826"/>
      <c r="AW431" s="1826"/>
      <c r="AX431" s="1826"/>
      <c r="AY431" s="1826"/>
      <c r="AZ431" s="1826"/>
      <c r="BA431" s="1826"/>
      <c r="BB431" s="1826"/>
      <c r="BC431" s="1826"/>
      <c r="BD431" s="1826"/>
      <c r="BE431" s="1826"/>
      <c r="BF431" s="1826"/>
      <c r="BG431" s="1639"/>
    </row>
    <row customHeight="1" ht="0.75">
      <c r="A432" s="1170" t="s">
        <v>1246</v>
      </c>
      <c r="B432" s="1170"/>
      <c r="C432" s="1170"/>
      <c r="D432" s="1164"/>
      <c r="E432" s="1174"/>
      <c r="F432" s="2553"/>
      <c r="G432" s="2532"/>
      <c r="H432" s="2557"/>
      <c r="I432" s="2558"/>
      <c r="J432" s="2559"/>
      <c r="K432" s="2559"/>
      <c r="L432" s="2551"/>
      <c r="M432" s="2285"/>
      <c r="N432" s="2560"/>
      <c r="O432" s="2561"/>
      <c r="P432" s="2606"/>
      <c r="Q432" s="2556"/>
      <c r="R432" s="2556"/>
      <c r="S432" s="2556"/>
      <c r="T432" s="2556"/>
      <c r="U432" s="2556"/>
      <c r="V432" s="2556"/>
      <c r="W432" s="2556"/>
      <c r="X432" s="2556"/>
      <c r="Y432" s="2556"/>
      <c r="Z432" s="2042"/>
      <c r="AA432" s="2043"/>
      <c r="AB432" s="2044"/>
      <c r="AC432" s="2045"/>
      <c r="AD432" s="2044"/>
      <c r="AE432" s="2045"/>
      <c r="AF432" s="2555"/>
      <c r="AG432" s="2551"/>
      <c r="AH432" s="2551"/>
      <c r="AI432" s="2555"/>
      <c r="AJ432" s="2551"/>
      <c r="AK432" s="2551"/>
      <c r="AL432" s="1989"/>
      <c r="AM432" s="1826"/>
      <c r="AN432" s="1826"/>
      <c r="AO432" s="1826"/>
      <c r="AP432" s="1826"/>
      <c r="AQ432" s="1826"/>
      <c r="AR432" s="1826"/>
      <c r="AS432" s="1826"/>
      <c r="AT432" s="1826"/>
      <c r="AU432" s="1826"/>
      <c r="AV432" s="1826"/>
      <c r="AW432" s="1826"/>
      <c r="AX432" s="1826"/>
      <c r="AY432" s="1826"/>
      <c r="AZ432" s="1826"/>
      <c r="BA432" s="1826"/>
      <c r="BB432" s="1826"/>
      <c r="BC432" s="1826"/>
      <c r="BD432" s="1826"/>
      <c r="BE432" s="1826"/>
      <c r="BF432" s="1826"/>
      <c r="BG432" s="1639"/>
    </row>
    <row customHeight="1" ht="0.75">
      <c r="A433" s="1170" t="s">
        <v>1246</v>
      </c>
      <c r="B433" s="1170"/>
      <c r="C433" s="1170"/>
      <c r="D433" s="1164"/>
      <c r="E433" s="1174"/>
      <c r="F433" s="2553"/>
      <c r="G433" s="2532"/>
      <c r="H433" s="2557"/>
      <c r="I433" s="2558"/>
      <c r="J433" s="2559"/>
      <c r="K433" s="2559"/>
      <c r="L433" s="2551"/>
      <c r="M433" s="2285"/>
      <c r="N433" s="2560"/>
      <c r="O433" s="2561"/>
      <c r="P433" s="2607"/>
      <c r="Q433" s="2556"/>
      <c r="R433" s="2556"/>
      <c r="S433" s="2556"/>
      <c r="T433" s="2556"/>
      <c r="U433" s="2556"/>
      <c r="V433" s="2556"/>
      <c r="W433" s="2556"/>
      <c r="X433" s="2556"/>
      <c r="Y433" s="2556"/>
      <c r="Z433" s="2038"/>
      <c r="AA433" s="2039"/>
      <c r="AB433" s="2046"/>
      <c r="AC433" s="2040"/>
      <c r="AD433" s="2040"/>
      <c r="AE433" s="2047"/>
      <c r="AF433" s="2555"/>
      <c r="AG433" s="2551"/>
      <c r="AH433" s="2551"/>
      <c r="AI433" s="2555"/>
      <c r="AJ433" s="2551"/>
      <c r="AK433" s="2551"/>
      <c r="AL433" s="1989"/>
      <c r="AM433" s="1826"/>
      <c r="AN433" s="1826"/>
      <c r="AO433" s="1826"/>
      <c r="AP433" s="1826"/>
      <c r="AQ433" s="1826"/>
      <c r="AR433" s="1826"/>
      <c r="AS433" s="1826"/>
      <c r="AT433" s="1826"/>
      <c r="AU433" s="1826"/>
      <c r="AV433" s="1826"/>
      <c r="AW433" s="1826"/>
      <c r="AX433" s="1826"/>
      <c r="AY433" s="1826"/>
      <c r="AZ433" s="1826"/>
      <c r="BA433" s="1826"/>
      <c r="BB433" s="1826"/>
      <c r="BC433" s="1826"/>
      <c r="BD433" s="1826"/>
      <c r="BE433" s="1826"/>
      <c r="BF433" s="1826"/>
      <c r="BG433" s="1639"/>
    </row>
    <row customHeight="1" ht="0.75">
      <c r="A434" s="1170" t="s">
        <v>1246</v>
      </c>
      <c r="B434" s="1170"/>
      <c r="C434" s="1170"/>
      <c r="D434" s="1164"/>
      <c r="E434" s="1174"/>
      <c r="F434" s="2553"/>
      <c r="G434" s="2532"/>
      <c r="H434" s="2557"/>
      <c r="I434" s="2558"/>
      <c r="J434" s="2559"/>
      <c r="K434" s="2559"/>
      <c r="L434" s="2551"/>
      <c r="M434" s="2285"/>
      <c r="N434" s="2039"/>
      <c r="O434" s="2039"/>
      <c r="P434" s="2046"/>
      <c r="Q434" s="2039"/>
      <c r="R434" s="2039"/>
      <c r="S434" s="2039"/>
      <c r="T434" s="2039"/>
      <c r="U434" s="2039"/>
      <c r="V434" s="2039"/>
      <c r="W434" s="2039"/>
      <c r="X434" s="2039"/>
      <c r="Y434" s="2039"/>
      <c r="Z434" s="2039"/>
      <c r="AA434" s="2039"/>
      <c r="AB434" s="2039"/>
      <c r="AC434" s="2039"/>
      <c r="AD434" s="2039"/>
      <c r="AE434" s="2048"/>
      <c r="AF434" s="2555"/>
      <c r="AG434" s="2551"/>
      <c r="AH434" s="2551"/>
      <c r="AI434" s="2555"/>
      <c r="AJ434" s="2551"/>
      <c r="AK434" s="2551"/>
      <c r="AL434" s="1989"/>
      <c r="AM434" s="1826"/>
      <c r="AN434" s="1826"/>
      <c r="AO434" s="1826"/>
      <c r="AP434" s="1826"/>
      <c r="AQ434" s="1826"/>
      <c r="AR434" s="1826"/>
      <c r="AS434" s="1826"/>
      <c r="AT434" s="1826"/>
      <c r="AU434" s="1826"/>
      <c r="AV434" s="1826"/>
      <c r="AW434" s="1826"/>
      <c r="AX434" s="1826"/>
      <c r="AY434" s="1826"/>
      <c r="AZ434" s="1826"/>
      <c r="BA434" s="1826"/>
      <c r="BB434" s="1826"/>
      <c r="BC434" s="1826"/>
      <c r="BD434" s="1826"/>
      <c r="BE434" s="1826"/>
      <c r="BF434" s="1826"/>
      <c r="BG434" s="1639"/>
    </row>
    <row customHeight="1" ht="12">
      <c r="A435" s="1170" t="s">
        <v>1246</v>
      </c>
      <c r="B435" s="1170"/>
      <c r="C435" s="1170"/>
      <c r="D435" s="1164"/>
      <c r="E435" s="1174"/>
      <c r="F435" s="2554"/>
      <c r="G435" s="1194"/>
      <c r="H435" s="1194"/>
      <c r="I435" s="2552" t="s">
        <v>1300</v>
      </c>
      <c r="J435" s="2552"/>
      <c r="K435" s="2552"/>
      <c r="L435" s="1177"/>
      <c r="M435" s="1177"/>
      <c r="N435" s="1178"/>
      <c r="O435" s="1178"/>
      <c r="P435" s="1178"/>
      <c r="Q435" s="1178"/>
      <c r="R435" s="1178"/>
      <c r="S435" s="1178"/>
      <c r="T435" s="1178"/>
      <c r="U435" s="1178"/>
      <c r="V435" s="1178"/>
      <c r="W435" s="1178"/>
      <c r="X435" s="1178"/>
      <c r="Y435" s="1178"/>
      <c r="Z435" s="1178"/>
      <c r="AA435" s="1178"/>
      <c r="AB435" s="1178"/>
      <c r="AC435" s="1178"/>
      <c r="AD435" s="1178"/>
      <c r="AE435" s="1178"/>
      <c r="AF435" s="1178"/>
      <c r="AG435" s="1177"/>
      <c r="AH435" s="1177"/>
      <c r="AI435" s="1178"/>
      <c r="AJ435" s="1177"/>
      <c r="AK435" s="1178"/>
      <c r="AL435" s="1989"/>
      <c r="AM435" s="1826"/>
      <c r="AN435" s="1826"/>
      <c r="AO435" s="1826"/>
      <c r="AP435" s="1826"/>
      <c r="AQ435" s="1826"/>
      <c r="AR435" s="1826"/>
      <c r="AS435" s="1826"/>
      <c r="AT435" s="1826"/>
      <c r="AU435" s="1826"/>
      <c r="AV435" s="1826"/>
      <c r="AW435" s="1826"/>
      <c r="AX435" s="1826"/>
      <c r="AY435" s="1826"/>
      <c r="AZ435" s="1826"/>
      <c r="BA435" s="1826"/>
      <c r="BB435" s="1826"/>
      <c r="BC435" s="1826"/>
      <c r="BD435" s="1826"/>
      <c r="BE435" s="1826"/>
      <c r="BF435" s="1826"/>
      <c r="BG435" s="1639"/>
    </row>
    <row customHeight="1" ht="0.75">
      <c r="A436" s="1170" t="s">
        <v>1246</v>
      </c>
      <c r="B436" s="1170"/>
      <c r="C436" s="1170"/>
      <c r="D436" s="1164"/>
      <c r="E436" s="1174"/>
      <c r="F436" s="2553">
        <v>2029</v>
      </c>
      <c r="G436" s="2532"/>
      <c r="H436" s="2557" t="s">
        <v>514</v>
      </c>
      <c r="I436" s="2558"/>
      <c r="J436" s="2559"/>
      <c r="K436" s="2559"/>
      <c r="L436" s="2551"/>
      <c r="M436" s="2285"/>
      <c r="N436" s="2037"/>
      <c r="O436" s="2036"/>
      <c r="P436" s="2037"/>
      <c r="Q436" s="2037"/>
      <c r="R436" s="2037"/>
      <c r="S436" s="2037"/>
      <c r="T436" s="2037"/>
      <c r="U436" s="2037"/>
      <c r="V436" s="2037"/>
      <c r="W436" s="2037"/>
      <c r="X436" s="2037"/>
      <c r="Y436" s="2037"/>
      <c r="Z436" s="2037"/>
      <c r="AA436" s="2037"/>
      <c r="AB436" s="2037"/>
      <c r="AC436" s="2037"/>
      <c r="AD436" s="2037"/>
      <c r="AE436" s="2037"/>
      <c r="AF436" s="2555"/>
      <c r="AG436" s="2551"/>
      <c r="AH436" s="2551"/>
      <c r="AI436" s="2555"/>
      <c r="AJ436" s="2551"/>
      <c r="AK436" s="2551"/>
      <c r="AL436" s="1989"/>
      <c r="AM436" s="1826"/>
      <c r="AN436" s="1826"/>
      <c r="AO436" s="1826"/>
      <c r="AP436" s="1826"/>
      <c r="AQ436" s="1826"/>
      <c r="AR436" s="1826"/>
      <c r="AS436" s="1826"/>
      <c r="AT436" s="1826"/>
      <c r="AU436" s="1826"/>
      <c r="AV436" s="1826"/>
      <c r="AW436" s="1826"/>
      <c r="AX436" s="1826"/>
      <c r="AY436" s="1826"/>
      <c r="AZ436" s="1826"/>
      <c r="BA436" s="1826"/>
      <c r="BB436" s="1826"/>
      <c r="BC436" s="1826"/>
      <c r="BD436" s="1826"/>
      <c r="BE436" s="1826"/>
      <c r="BF436" s="1826"/>
      <c r="BG436" s="1639"/>
    </row>
    <row customHeight="1" ht="0.75">
      <c r="A437" s="1170" t="s">
        <v>1246</v>
      </c>
      <c r="B437" s="1170"/>
      <c r="C437" s="1170"/>
      <c r="D437" s="1164"/>
      <c r="E437" s="1174"/>
      <c r="F437" s="2553"/>
      <c r="G437" s="2532"/>
      <c r="H437" s="2557"/>
      <c r="I437" s="2558"/>
      <c r="J437" s="2559"/>
      <c r="K437" s="2559"/>
      <c r="L437" s="2551"/>
      <c r="M437" s="2285"/>
      <c r="N437" s="2560"/>
      <c r="O437" s="2561"/>
      <c r="P437" s="2605"/>
      <c r="Q437" s="2556"/>
      <c r="R437" s="2556"/>
      <c r="S437" s="2556"/>
      <c r="T437" s="2556"/>
      <c r="U437" s="2556"/>
      <c r="V437" s="2556"/>
      <c r="W437" s="2556"/>
      <c r="X437" s="2556"/>
      <c r="Y437" s="2556"/>
      <c r="Z437" s="2038"/>
      <c r="AA437" s="2039"/>
      <c r="AB437" s="2039"/>
      <c r="AC437" s="2040"/>
      <c r="AD437" s="2040"/>
      <c r="AE437" s="2041"/>
      <c r="AF437" s="2555"/>
      <c r="AG437" s="2551"/>
      <c r="AH437" s="2551"/>
      <c r="AI437" s="2555"/>
      <c r="AJ437" s="2551"/>
      <c r="AK437" s="2551"/>
      <c r="AL437" s="1989"/>
      <c r="AM437" s="1826"/>
      <c r="AN437" s="1826"/>
      <c r="AO437" s="1826"/>
      <c r="AP437" s="1826"/>
      <c r="AQ437" s="1826"/>
      <c r="AR437" s="1826"/>
      <c r="AS437" s="1826"/>
      <c r="AT437" s="1826"/>
      <c r="AU437" s="1826"/>
      <c r="AV437" s="1826"/>
      <c r="AW437" s="1826"/>
      <c r="AX437" s="1826"/>
      <c r="AY437" s="1826"/>
      <c r="AZ437" s="1826"/>
      <c r="BA437" s="1826"/>
      <c r="BB437" s="1826"/>
      <c r="BC437" s="1826"/>
      <c r="BD437" s="1826"/>
      <c r="BE437" s="1826"/>
      <c r="BF437" s="1826"/>
      <c r="BG437" s="1639"/>
    </row>
    <row customHeight="1" ht="0.75">
      <c r="A438" s="1170" t="s">
        <v>1246</v>
      </c>
      <c r="B438" s="1170"/>
      <c r="C438" s="1170"/>
      <c r="D438" s="1164"/>
      <c r="E438" s="1174"/>
      <c r="F438" s="2553"/>
      <c r="G438" s="2532"/>
      <c r="H438" s="2557"/>
      <c r="I438" s="2558"/>
      <c r="J438" s="2559"/>
      <c r="K438" s="2559"/>
      <c r="L438" s="2551"/>
      <c r="M438" s="2285"/>
      <c r="N438" s="2560"/>
      <c r="O438" s="2561"/>
      <c r="P438" s="2606"/>
      <c r="Q438" s="2556"/>
      <c r="R438" s="2556"/>
      <c r="S438" s="2556"/>
      <c r="T438" s="2556"/>
      <c r="U438" s="2556"/>
      <c r="V438" s="2556"/>
      <c r="W438" s="2556"/>
      <c r="X438" s="2556"/>
      <c r="Y438" s="2556"/>
      <c r="Z438" s="2042"/>
      <c r="AA438" s="2043"/>
      <c r="AB438" s="2044"/>
      <c r="AC438" s="2045"/>
      <c r="AD438" s="2044"/>
      <c r="AE438" s="2045"/>
      <c r="AF438" s="2555"/>
      <c r="AG438" s="2551"/>
      <c r="AH438" s="2551"/>
      <c r="AI438" s="2555"/>
      <c r="AJ438" s="2551"/>
      <c r="AK438" s="2551"/>
      <c r="AL438" s="1989"/>
      <c r="AM438" s="1826"/>
      <c r="AN438" s="1826"/>
      <c r="AO438" s="1826"/>
      <c r="AP438" s="1826"/>
      <c r="AQ438" s="1826"/>
      <c r="AR438" s="1826"/>
      <c r="AS438" s="1826"/>
      <c r="AT438" s="1826"/>
      <c r="AU438" s="1826"/>
      <c r="AV438" s="1826"/>
      <c r="AW438" s="1826"/>
      <c r="AX438" s="1826"/>
      <c r="AY438" s="1826"/>
      <c r="AZ438" s="1826"/>
      <c r="BA438" s="1826"/>
      <c r="BB438" s="1826"/>
      <c r="BC438" s="1826"/>
      <c r="BD438" s="1826"/>
      <c r="BE438" s="1826"/>
      <c r="BF438" s="1826"/>
      <c r="BG438" s="1639"/>
    </row>
    <row customHeight="1" ht="0.75">
      <c r="A439" s="1170" t="s">
        <v>1246</v>
      </c>
      <c r="B439" s="1170"/>
      <c r="C439" s="1170"/>
      <c r="D439" s="1164"/>
      <c r="E439" s="1174"/>
      <c r="F439" s="2553"/>
      <c r="G439" s="2532"/>
      <c r="H439" s="2557"/>
      <c r="I439" s="2558"/>
      <c r="J439" s="2559"/>
      <c r="K439" s="2559"/>
      <c r="L439" s="2551"/>
      <c r="M439" s="2285"/>
      <c r="N439" s="2560"/>
      <c r="O439" s="2561"/>
      <c r="P439" s="2607"/>
      <c r="Q439" s="2556"/>
      <c r="R439" s="2556"/>
      <c r="S439" s="2556"/>
      <c r="T439" s="2556"/>
      <c r="U439" s="2556"/>
      <c r="V439" s="2556"/>
      <c r="W439" s="2556"/>
      <c r="X439" s="2556"/>
      <c r="Y439" s="2556"/>
      <c r="Z439" s="2038"/>
      <c r="AA439" s="2039"/>
      <c r="AB439" s="2046"/>
      <c r="AC439" s="2040"/>
      <c r="AD439" s="2040"/>
      <c r="AE439" s="2047"/>
      <c r="AF439" s="2555"/>
      <c r="AG439" s="2551"/>
      <c r="AH439" s="2551"/>
      <c r="AI439" s="2555"/>
      <c r="AJ439" s="2551"/>
      <c r="AK439" s="2551"/>
      <c r="AL439" s="1989"/>
      <c r="AM439" s="1826"/>
      <c r="AN439" s="1826"/>
      <c r="AO439" s="1826"/>
      <c r="AP439" s="1826"/>
      <c r="AQ439" s="1826"/>
      <c r="AR439" s="1826"/>
      <c r="AS439" s="1826"/>
      <c r="AT439" s="1826"/>
      <c r="AU439" s="1826"/>
      <c r="AV439" s="1826"/>
      <c r="AW439" s="1826"/>
      <c r="AX439" s="1826"/>
      <c r="AY439" s="1826"/>
      <c r="AZ439" s="1826"/>
      <c r="BA439" s="1826"/>
      <c r="BB439" s="1826"/>
      <c r="BC439" s="1826"/>
      <c r="BD439" s="1826"/>
      <c r="BE439" s="1826"/>
      <c r="BF439" s="1826"/>
      <c r="BG439" s="1639"/>
    </row>
    <row customHeight="1" ht="0.75">
      <c r="A440" s="1170" t="s">
        <v>1246</v>
      </c>
      <c r="B440" s="1170"/>
      <c r="C440" s="1170"/>
      <c r="D440" s="1164"/>
      <c r="E440" s="1174"/>
      <c r="F440" s="2553"/>
      <c r="G440" s="2532"/>
      <c r="H440" s="2557"/>
      <c r="I440" s="2558"/>
      <c r="J440" s="2559"/>
      <c r="K440" s="2559"/>
      <c r="L440" s="2551"/>
      <c r="M440" s="2285"/>
      <c r="N440" s="2039"/>
      <c r="O440" s="2039"/>
      <c r="P440" s="2046"/>
      <c r="Q440" s="2039"/>
      <c r="R440" s="2039"/>
      <c r="S440" s="2039"/>
      <c r="T440" s="2039"/>
      <c r="U440" s="2039"/>
      <c r="V440" s="2039"/>
      <c r="W440" s="2039"/>
      <c r="X440" s="2039"/>
      <c r="Y440" s="2039"/>
      <c r="Z440" s="2039"/>
      <c r="AA440" s="2039"/>
      <c r="AB440" s="2039"/>
      <c r="AC440" s="2039"/>
      <c r="AD440" s="2039"/>
      <c r="AE440" s="2048"/>
      <c r="AF440" s="2555"/>
      <c r="AG440" s="2551"/>
      <c r="AH440" s="2551"/>
      <c r="AI440" s="2555"/>
      <c r="AJ440" s="2551"/>
      <c r="AK440" s="2551"/>
      <c r="AL440" s="1989"/>
      <c r="AM440" s="1826"/>
      <c r="AN440" s="1826"/>
      <c r="AO440" s="1826"/>
      <c r="AP440" s="1826"/>
      <c r="AQ440" s="1826"/>
      <c r="AR440" s="1826"/>
      <c r="AS440" s="1826"/>
      <c r="AT440" s="1826"/>
      <c r="AU440" s="1826"/>
      <c r="AV440" s="1826"/>
      <c r="AW440" s="1826"/>
      <c r="AX440" s="1826"/>
      <c r="AY440" s="1826"/>
      <c r="AZ440" s="1826"/>
      <c r="BA440" s="1826"/>
      <c r="BB440" s="1826"/>
      <c r="BC440" s="1826"/>
      <c r="BD440" s="1826"/>
      <c r="BE440" s="1826"/>
      <c r="BF440" s="1826"/>
      <c r="BG440" s="1639"/>
    </row>
    <row customHeight="1" ht="12">
      <c r="A441" s="1170" t="s">
        <v>1246</v>
      </c>
      <c r="B441" s="1170"/>
      <c r="C441" s="1170"/>
      <c r="D441" s="1164"/>
      <c r="E441" s="1174"/>
      <c r="F441" s="2554"/>
      <c r="G441" s="1194"/>
      <c r="H441" s="1194"/>
      <c r="I441" s="2552" t="s">
        <v>1300</v>
      </c>
      <c r="J441" s="2552"/>
      <c r="K441" s="2552"/>
      <c r="L441" s="1177"/>
      <c r="M441" s="1177"/>
      <c r="N441" s="1178"/>
      <c r="O441" s="1178"/>
      <c r="P441" s="1178"/>
      <c r="Q441" s="1178"/>
      <c r="R441" s="1178"/>
      <c r="S441" s="1178"/>
      <c r="T441" s="1178"/>
      <c r="U441" s="1178"/>
      <c r="V441" s="1178"/>
      <c r="W441" s="1178"/>
      <c r="X441" s="1178"/>
      <c r="Y441" s="1178"/>
      <c r="Z441" s="1178"/>
      <c r="AA441" s="1178"/>
      <c r="AB441" s="1178"/>
      <c r="AC441" s="1178"/>
      <c r="AD441" s="1178"/>
      <c r="AE441" s="1178"/>
      <c r="AF441" s="1178"/>
      <c r="AG441" s="1177"/>
      <c r="AH441" s="1177"/>
      <c r="AI441" s="1178"/>
      <c r="AJ441" s="1177"/>
      <c r="AK441" s="1178"/>
      <c r="AL441" s="1989"/>
      <c r="AM441" s="1826"/>
      <c r="AN441" s="1826"/>
      <c r="AO441" s="1826"/>
      <c r="AP441" s="1826"/>
      <c r="AQ441" s="1826"/>
      <c r="AR441" s="1826"/>
      <c r="AS441" s="1826"/>
      <c r="AT441" s="1826"/>
      <c r="AU441" s="1826"/>
      <c r="AV441" s="1826"/>
      <c r="AW441" s="1826"/>
      <c r="AX441" s="1826"/>
      <c r="AY441" s="1826"/>
      <c r="AZ441" s="1826"/>
      <c r="BA441" s="1826"/>
      <c r="BB441" s="1826"/>
      <c r="BC441" s="1826"/>
      <c r="BD441" s="1826"/>
      <c r="BE441" s="1826"/>
      <c r="BF441" s="1826"/>
      <c r="BG441" s="1639"/>
    </row>
    <row customHeight="1" ht="21">
      <c r="A442" s="1171" t="s">
        <v>1253</v>
      </c>
      <c r="B442" s="1170"/>
      <c r="C442" s="1170"/>
      <c r="D442" s="1164"/>
      <c r="E442" s="1174" t="s">
        <v>22</v>
      </c>
      <c r="F442" s="1126" t="str">
        <f>INDEX(IP_MAIN_LIST_NAME_IP,MATCH(A442,IP_MAIN_LIST_IP_ID,0))&amp;" ("&amp;INDEX(IP_MAIN_START_DATE,MATCH(A442,IP_MAIN_LIST_IP_ID,0))&amp;"-"&amp;INDEX(IP_MAIN_END_DATE,MATCH(A442,IP_MAIN_LIST_IP_ID,0))&amp;")"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42" s="1127"/>
      <c r="H442" s="1127"/>
      <c r="I442" s="1189"/>
      <c r="J442" s="1189"/>
      <c r="K442" s="1190"/>
      <c r="L442" s="1190"/>
      <c r="M442" s="1190"/>
      <c r="N442" s="1191"/>
      <c r="O442" s="1191"/>
      <c r="P442" s="1191"/>
      <c r="Q442" s="1191"/>
      <c r="R442" s="1191"/>
      <c r="S442" s="1191"/>
      <c r="T442" s="1191"/>
      <c r="U442" s="1191"/>
      <c r="V442" s="1191"/>
      <c r="W442" s="1191"/>
      <c r="X442" s="1191"/>
      <c r="Y442" s="1191"/>
      <c r="Z442" s="1191"/>
      <c r="AA442" s="1191"/>
      <c r="AB442" s="1191"/>
      <c r="AC442" s="1191"/>
      <c r="AD442" s="1191"/>
      <c r="AE442" s="1192"/>
      <c r="AF442" s="1190"/>
      <c r="AG442" s="1190"/>
      <c r="AH442" s="1190"/>
      <c r="AI442" s="1190"/>
      <c r="AJ442" s="1190"/>
      <c r="AK442" s="1190"/>
      <c r="AL442" s="1989"/>
      <c r="AM442" s="1826"/>
      <c r="AN442" s="1826"/>
      <c r="AO442" s="1826"/>
      <c r="AP442" s="1826"/>
      <c r="AQ442" s="1826"/>
      <c r="AR442" s="1826"/>
      <c r="AS442" s="1826"/>
      <c r="AT442" s="1826"/>
      <c r="AU442" s="1826"/>
      <c r="AV442" s="1826"/>
      <c r="AW442" s="1826"/>
      <c r="AX442" s="1826"/>
      <c r="AY442" s="1826"/>
      <c r="AZ442" s="1826"/>
      <c r="BA442" s="1826"/>
      <c r="BB442" s="1826"/>
      <c r="BC442" s="1826"/>
      <c r="BD442" s="1826"/>
      <c r="BE442" s="1826"/>
      <c r="BF442" s="1826"/>
      <c r="BG442" s="1639"/>
    </row>
    <row customHeight="1" ht="0.75">
      <c r="A443" s="1170" t="s">
        <v>1253</v>
      </c>
      <c r="B443" s="1170"/>
      <c r="C443" s="1170"/>
      <c r="D443" s="1164"/>
      <c r="E443" s="1174"/>
      <c r="F443" s="2553">
        <v>2021</v>
      </c>
      <c r="G443" s="2532"/>
      <c r="H443" s="2557" t="s">
        <v>514</v>
      </c>
      <c r="I443" s="2558"/>
      <c r="J443" s="2559"/>
      <c r="K443" s="2559"/>
      <c r="L443" s="2551"/>
      <c r="M443" s="2285"/>
      <c r="N443" s="2037"/>
      <c r="O443" s="2036"/>
      <c r="P443" s="2037"/>
      <c r="Q443" s="2037"/>
      <c r="R443" s="2037"/>
      <c r="S443" s="2037"/>
      <c r="T443" s="2037"/>
      <c r="U443" s="2037"/>
      <c r="V443" s="2037"/>
      <c r="W443" s="2037"/>
      <c r="X443" s="2037"/>
      <c r="Y443" s="2037"/>
      <c r="Z443" s="2037"/>
      <c r="AA443" s="2037"/>
      <c r="AB443" s="2037"/>
      <c r="AC443" s="2037"/>
      <c r="AD443" s="2037"/>
      <c r="AE443" s="2037"/>
      <c r="AF443" s="2555"/>
      <c r="AG443" s="2551"/>
      <c r="AH443" s="2551"/>
      <c r="AI443" s="2555"/>
      <c r="AJ443" s="2551"/>
      <c r="AK443" s="2551"/>
      <c r="AL443" s="1989"/>
      <c r="AM443" s="1826"/>
      <c r="AN443" s="1826"/>
      <c r="AO443" s="1826"/>
      <c r="AP443" s="1826"/>
      <c r="AQ443" s="1826"/>
      <c r="AR443" s="1826"/>
      <c r="AS443" s="1826"/>
      <c r="AT443" s="1826"/>
      <c r="AU443" s="1826"/>
      <c r="AV443" s="1826"/>
      <c r="AW443" s="1826"/>
      <c r="AX443" s="1826"/>
      <c r="AY443" s="1826"/>
      <c r="AZ443" s="1826"/>
      <c r="BA443" s="1826"/>
      <c r="BB443" s="1826"/>
      <c r="BC443" s="1826"/>
      <c r="BD443" s="1826"/>
      <c r="BE443" s="1826"/>
      <c r="BF443" s="1826"/>
      <c r="BG443" s="1639"/>
    </row>
    <row customHeight="1" ht="0.75">
      <c r="A444" s="1170" t="s">
        <v>1253</v>
      </c>
      <c r="B444" s="1170"/>
      <c r="C444" s="1170"/>
      <c r="D444" s="1164"/>
      <c r="E444" s="1174"/>
      <c r="F444" s="2553"/>
      <c r="G444" s="2532"/>
      <c r="H444" s="2557"/>
      <c r="I444" s="2558"/>
      <c r="J444" s="2559"/>
      <c r="K444" s="2559"/>
      <c r="L444" s="2551"/>
      <c r="M444" s="2285"/>
      <c r="N444" s="2560"/>
      <c r="O444" s="2561"/>
      <c r="P444" s="2605"/>
      <c r="Q444" s="2556"/>
      <c r="R444" s="2556"/>
      <c r="S444" s="2556"/>
      <c r="T444" s="2556"/>
      <c r="U444" s="2556"/>
      <c r="V444" s="2556"/>
      <c r="W444" s="2556"/>
      <c r="X444" s="2556"/>
      <c r="Y444" s="2556"/>
      <c r="Z444" s="2038"/>
      <c r="AA444" s="2039"/>
      <c r="AB444" s="2039"/>
      <c r="AC444" s="2040"/>
      <c r="AD444" s="2040"/>
      <c r="AE444" s="2041"/>
      <c r="AF444" s="2555"/>
      <c r="AG444" s="2551"/>
      <c r="AH444" s="2551"/>
      <c r="AI444" s="2555"/>
      <c r="AJ444" s="2551"/>
      <c r="AK444" s="2551"/>
      <c r="AL444" s="1989"/>
      <c r="AM444" s="1826"/>
      <c r="AN444" s="1826"/>
      <c r="AO444" s="1826"/>
      <c r="AP444" s="1826"/>
      <c r="AQ444" s="1826"/>
      <c r="AR444" s="1826"/>
      <c r="AS444" s="1826"/>
      <c r="AT444" s="1826"/>
      <c r="AU444" s="1826"/>
      <c r="AV444" s="1826"/>
      <c r="AW444" s="1826"/>
      <c r="AX444" s="1826"/>
      <c r="AY444" s="1826"/>
      <c r="AZ444" s="1826"/>
      <c r="BA444" s="1826"/>
      <c r="BB444" s="1826"/>
      <c r="BC444" s="1826"/>
      <c r="BD444" s="1826"/>
      <c r="BE444" s="1826"/>
      <c r="BF444" s="1826"/>
      <c r="BG444" s="1639"/>
    </row>
    <row customHeight="1" ht="0.75">
      <c r="A445" s="1170" t="s">
        <v>1253</v>
      </c>
      <c r="B445" s="1170"/>
      <c r="C445" s="1170"/>
      <c r="D445" s="1164"/>
      <c r="E445" s="1174"/>
      <c r="F445" s="2553"/>
      <c r="G445" s="2532"/>
      <c r="H445" s="2557"/>
      <c r="I445" s="2558"/>
      <c r="J445" s="2559"/>
      <c r="K445" s="2559"/>
      <c r="L445" s="2551"/>
      <c r="M445" s="2285"/>
      <c r="N445" s="2560"/>
      <c r="O445" s="2561"/>
      <c r="P445" s="2606"/>
      <c r="Q445" s="2556"/>
      <c r="R445" s="2556"/>
      <c r="S445" s="2556"/>
      <c r="T445" s="2556"/>
      <c r="U445" s="2556"/>
      <c r="V445" s="2556"/>
      <c r="W445" s="2556"/>
      <c r="X445" s="2556"/>
      <c r="Y445" s="2556"/>
      <c r="Z445" s="2042"/>
      <c r="AA445" s="2043"/>
      <c r="AB445" s="2044"/>
      <c r="AC445" s="2045"/>
      <c r="AD445" s="2044"/>
      <c r="AE445" s="2045"/>
      <c r="AF445" s="2555"/>
      <c r="AG445" s="2551"/>
      <c r="AH445" s="2551"/>
      <c r="AI445" s="2555"/>
      <c r="AJ445" s="2551"/>
      <c r="AK445" s="2551"/>
      <c r="AL445" s="1989"/>
      <c r="AM445" s="1826"/>
      <c r="AN445" s="1826"/>
      <c r="AO445" s="1826"/>
      <c r="AP445" s="1826"/>
      <c r="AQ445" s="1826"/>
      <c r="AR445" s="1826"/>
      <c r="AS445" s="1826"/>
      <c r="AT445" s="1826"/>
      <c r="AU445" s="1826"/>
      <c r="AV445" s="1826"/>
      <c r="AW445" s="1826"/>
      <c r="AX445" s="1826"/>
      <c r="AY445" s="1826"/>
      <c r="AZ445" s="1826"/>
      <c r="BA445" s="1826"/>
      <c r="BB445" s="1826"/>
      <c r="BC445" s="1826"/>
      <c r="BD445" s="1826"/>
      <c r="BE445" s="1826"/>
      <c r="BF445" s="1826"/>
      <c r="BG445" s="1639"/>
    </row>
    <row customHeight="1" ht="0.75">
      <c r="A446" s="1170" t="s">
        <v>1253</v>
      </c>
      <c r="B446" s="1170"/>
      <c r="C446" s="1170"/>
      <c r="D446" s="1164"/>
      <c r="E446" s="1174"/>
      <c r="F446" s="2553"/>
      <c r="G446" s="2532"/>
      <c r="H446" s="2557"/>
      <c r="I446" s="2558"/>
      <c r="J446" s="2559"/>
      <c r="K446" s="2559"/>
      <c r="L446" s="2551"/>
      <c r="M446" s="2285"/>
      <c r="N446" s="2560"/>
      <c r="O446" s="2561"/>
      <c r="P446" s="2607"/>
      <c r="Q446" s="2556"/>
      <c r="R446" s="2556"/>
      <c r="S446" s="2556"/>
      <c r="T446" s="2556"/>
      <c r="U446" s="2556"/>
      <c r="V446" s="2556"/>
      <c r="W446" s="2556"/>
      <c r="X446" s="2556"/>
      <c r="Y446" s="2556"/>
      <c r="Z446" s="2038"/>
      <c r="AA446" s="2039"/>
      <c r="AB446" s="2046"/>
      <c r="AC446" s="2040"/>
      <c r="AD446" s="2040"/>
      <c r="AE446" s="2047"/>
      <c r="AF446" s="2555"/>
      <c r="AG446" s="2551"/>
      <c r="AH446" s="2551"/>
      <c r="AI446" s="2555"/>
      <c r="AJ446" s="2551"/>
      <c r="AK446" s="2551"/>
      <c r="AL446" s="1989"/>
      <c r="AM446" s="1826"/>
      <c r="AN446" s="1826"/>
      <c r="AO446" s="1826"/>
      <c r="AP446" s="1826"/>
      <c r="AQ446" s="1826"/>
      <c r="AR446" s="1826"/>
      <c r="AS446" s="1826"/>
      <c r="AT446" s="1826"/>
      <c r="AU446" s="1826"/>
      <c r="AV446" s="1826"/>
      <c r="AW446" s="1826"/>
      <c r="AX446" s="1826"/>
      <c r="AY446" s="1826"/>
      <c r="AZ446" s="1826"/>
      <c r="BA446" s="1826"/>
      <c r="BB446" s="1826"/>
      <c r="BC446" s="1826"/>
      <c r="BD446" s="1826"/>
      <c r="BE446" s="1826"/>
      <c r="BF446" s="1826"/>
      <c r="BG446" s="1639"/>
    </row>
    <row customHeight="1" ht="0.75">
      <c r="A447" s="1170" t="s">
        <v>1253</v>
      </c>
      <c r="B447" s="1170"/>
      <c r="C447" s="1170"/>
      <c r="D447" s="1164"/>
      <c r="E447" s="1174"/>
      <c r="F447" s="2553"/>
      <c r="G447" s="2532"/>
      <c r="H447" s="2557"/>
      <c r="I447" s="2558"/>
      <c r="J447" s="2559"/>
      <c r="K447" s="2559"/>
      <c r="L447" s="2551"/>
      <c r="M447" s="2285"/>
      <c r="N447" s="2039"/>
      <c r="O447" s="2039"/>
      <c r="P447" s="2046"/>
      <c r="Q447" s="2039"/>
      <c r="R447" s="2039"/>
      <c r="S447" s="2039"/>
      <c r="T447" s="2039"/>
      <c r="U447" s="2039"/>
      <c r="V447" s="2039"/>
      <c r="W447" s="2039"/>
      <c r="X447" s="2039"/>
      <c r="Y447" s="2039"/>
      <c r="Z447" s="2039"/>
      <c r="AA447" s="2039"/>
      <c r="AB447" s="2039"/>
      <c r="AC447" s="2039"/>
      <c r="AD447" s="2039"/>
      <c r="AE447" s="2048"/>
      <c r="AF447" s="2555"/>
      <c r="AG447" s="2551"/>
      <c r="AH447" s="2551"/>
      <c r="AI447" s="2555"/>
      <c r="AJ447" s="2551"/>
      <c r="AK447" s="2551"/>
      <c r="AL447" s="1989"/>
      <c r="AM447" s="1826"/>
      <c r="AN447" s="1826"/>
      <c r="AO447" s="1826"/>
      <c r="AP447" s="1826"/>
      <c r="AQ447" s="1826"/>
      <c r="AR447" s="1826"/>
      <c r="AS447" s="1826"/>
      <c r="AT447" s="1826"/>
      <c r="AU447" s="1826"/>
      <c r="AV447" s="1826"/>
      <c r="AW447" s="1826"/>
      <c r="AX447" s="1826"/>
      <c r="AY447" s="1826"/>
      <c r="AZ447" s="1826"/>
      <c r="BA447" s="1826"/>
      <c r="BB447" s="1826"/>
      <c r="BC447" s="1826"/>
      <c r="BD447" s="1826"/>
      <c r="BE447" s="1826"/>
      <c r="BF447" s="1826"/>
      <c r="BG447" s="1639"/>
    </row>
    <row customHeight="1" ht="12">
      <c r="A448" s="1170" t="s">
        <v>1253</v>
      </c>
      <c r="B448" s="1170"/>
      <c r="C448" s="1170"/>
      <c r="D448" s="1164"/>
      <c r="E448" s="1174"/>
      <c r="F448" s="2554"/>
      <c r="G448" s="1194"/>
      <c r="H448" s="1194"/>
      <c r="I448" s="2552" t="s">
        <v>1300</v>
      </c>
      <c r="J448" s="2552"/>
      <c r="K448" s="2552"/>
      <c r="L448" s="1177"/>
      <c r="M448" s="1177"/>
      <c r="N448" s="1178"/>
      <c r="O448" s="1178"/>
      <c r="P448" s="1178"/>
      <c r="Q448" s="1178"/>
      <c r="R448" s="1178"/>
      <c r="S448" s="1178"/>
      <c r="T448" s="1178"/>
      <c r="U448" s="1178"/>
      <c r="V448" s="1178"/>
      <c r="W448" s="1178"/>
      <c r="X448" s="1178"/>
      <c r="Y448" s="1178"/>
      <c r="Z448" s="1178"/>
      <c r="AA448" s="1178"/>
      <c r="AB448" s="1178"/>
      <c r="AC448" s="1178"/>
      <c r="AD448" s="1178"/>
      <c r="AE448" s="1178"/>
      <c r="AF448" s="1178"/>
      <c r="AG448" s="1177"/>
      <c r="AH448" s="1177"/>
      <c r="AI448" s="1178"/>
      <c r="AJ448" s="1177"/>
      <c r="AK448" s="1178"/>
      <c r="AL448" s="1989"/>
      <c r="AM448" s="1826"/>
      <c r="AN448" s="1826"/>
      <c r="AO448" s="1826"/>
      <c r="AP448" s="1826"/>
      <c r="AQ448" s="1826"/>
      <c r="AR448" s="1826"/>
      <c r="AS448" s="1826"/>
      <c r="AT448" s="1826"/>
      <c r="AU448" s="1826"/>
      <c r="AV448" s="1826"/>
      <c r="AW448" s="1826"/>
      <c r="AX448" s="1826"/>
      <c r="AY448" s="1826"/>
      <c r="AZ448" s="1826"/>
      <c r="BA448" s="1826"/>
      <c r="BB448" s="1826"/>
      <c r="BC448" s="1826"/>
      <c r="BD448" s="1826"/>
      <c r="BE448" s="1826"/>
      <c r="BF448" s="1826"/>
      <c r="BG448" s="1639"/>
    </row>
    <row customHeight="1" ht="0.75">
      <c r="A449" s="1170" t="s">
        <v>1253</v>
      </c>
      <c r="B449" s="1170"/>
      <c r="C449" s="1170"/>
      <c r="D449" s="1164"/>
      <c r="E449" s="1174"/>
      <c r="F449" s="2553">
        <v>2022</v>
      </c>
      <c r="G449" s="2532"/>
      <c r="H449" s="2557" t="s">
        <v>514</v>
      </c>
      <c r="I449" s="2558"/>
      <c r="J449" s="2559"/>
      <c r="K449" s="2559"/>
      <c r="L449" s="2551"/>
      <c r="M449" s="2285"/>
      <c r="N449" s="2037"/>
      <c r="O449" s="2036"/>
      <c r="P449" s="2037"/>
      <c r="Q449" s="2037"/>
      <c r="R449" s="2037"/>
      <c r="S449" s="2037"/>
      <c r="T449" s="2037"/>
      <c r="U449" s="2037"/>
      <c r="V449" s="2037"/>
      <c r="W449" s="2037"/>
      <c r="X449" s="2037"/>
      <c r="Y449" s="2037"/>
      <c r="Z449" s="2037"/>
      <c r="AA449" s="2037"/>
      <c r="AB449" s="2037"/>
      <c r="AC449" s="2037"/>
      <c r="AD449" s="2037"/>
      <c r="AE449" s="2037"/>
      <c r="AF449" s="2555"/>
      <c r="AG449" s="2551"/>
      <c r="AH449" s="2551"/>
      <c r="AI449" s="2555"/>
      <c r="AJ449" s="2551"/>
      <c r="AK449" s="2551"/>
      <c r="AL449" s="1989"/>
      <c r="AM449" s="1826"/>
      <c r="AN449" s="1826"/>
      <c r="AO449" s="1826"/>
      <c r="AP449" s="1826"/>
      <c r="AQ449" s="1826"/>
      <c r="AR449" s="1826"/>
      <c r="AS449" s="1826"/>
      <c r="AT449" s="1826"/>
      <c r="AU449" s="1826"/>
      <c r="AV449" s="1826"/>
      <c r="AW449" s="1826"/>
      <c r="AX449" s="1826"/>
      <c r="AY449" s="1826"/>
      <c r="AZ449" s="1826"/>
      <c r="BA449" s="1826"/>
      <c r="BB449" s="1826"/>
      <c r="BC449" s="1826"/>
      <c r="BD449" s="1826"/>
      <c r="BE449" s="1826"/>
      <c r="BF449" s="1826"/>
      <c r="BG449" s="1639"/>
    </row>
    <row customHeight="1" ht="0.75">
      <c r="A450" s="1170" t="s">
        <v>1253</v>
      </c>
      <c r="B450" s="1170"/>
      <c r="C450" s="1170"/>
      <c r="D450" s="1164"/>
      <c r="E450" s="1174"/>
      <c r="F450" s="2553"/>
      <c r="G450" s="2532"/>
      <c r="H450" s="2557"/>
      <c r="I450" s="2558"/>
      <c r="J450" s="2559"/>
      <c r="K450" s="2559"/>
      <c r="L450" s="2551"/>
      <c r="M450" s="2285"/>
      <c r="N450" s="2560"/>
      <c r="O450" s="2561"/>
      <c r="P450" s="2605"/>
      <c r="Q450" s="2556"/>
      <c r="R450" s="2556"/>
      <c r="S450" s="2556"/>
      <c r="T450" s="2556"/>
      <c r="U450" s="2556"/>
      <c r="V450" s="2556"/>
      <c r="W450" s="2556"/>
      <c r="X450" s="2556"/>
      <c r="Y450" s="2556"/>
      <c r="Z450" s="2038"/>
      <c r="AA450" s="2039"/>
      <c r="AB450" s="2039"/>
      <c r="AC450" s="2040"/>
      <c r="AD450" s="2040"/>
      <c r="AE450" s="2041"/>
      <c r="AF450" s="2555"/>
      <c r="AG450" s="2551"/>
      <c r="AH450" s="2551"/>
      <c r="AI450" s="2555"/>
      <c r="AJ450" s="2551"/>
      <c r="AK450" s="2551"/>
      <c r="AL450" s="1989"/>
      <c r="AM450" s="1826"/>
      <c r="AN450" s="1826"/>
      <c r="AO450" s="1826"/>
      <c r="AP450" s="1826"/>
      <c r="AQ450" s="1826"/>
      <c r="AR450" s="1826"/>
      <c r="AS450" s="1826"/>
      <c r="AT450" s="1826"/>
      <c r="AU450" s="1826"/>
      <c r="AV450" s="1826"/>
      <c r="AW450" s="1826"/>
      <c r="AX450" s="1826"/>
      <c r="AY450" s="1826"/>
      <c r="AZ450" s="1826"/>
      <c r="BA450" s="1826"/>
      <c r="BB450" s="1826"/>
      <c r="BC450" s="1826"/>
      <c r="BD450" s="1826"/>
      <c r="BE450" s="1826"/>
      <c r="BF450" s="1826"/>
      <c r="BG450" s="1639"/>
    </row>
    <row customHeight="1" ht="0.75">
      <c r="A451" s="1170" t="s">
        <v>1253</v>
      </c>
      <c r="B451" s="1170"/>
      <c r="C451" s="1170"/>
      <c r="D451" s="1164"/>
      <c r="E451" s="1174"/>
      <c r="F451" s="2553"/>
      <c r="G451" s="2532"/>
      <c r="H451" s="2557"/>
      <c r="I451" s="2558"/>
      <c r="J451" s="2559"/>
      <c r="K451" s="2559"/>
      <c r="L451" s="2551"/>
      <c r="M451" s="2285"/>
      <c r="N451" s="2560"/>
      <c r="O451" s="2561"/>
      <c r="P451" s="2606"/>
      <c r="Q451" s="2556"/>
      <c r="R451" s="2556"/>
      <c r="S451" s="2556"/>
      <c r="T451" s="2556"/>
      <c r="U451" s="2556"/>
      <c r="V451" s="2556"/>
      <c r="W451" s="2556"/>
      <c r="X451" s="2556"/>
      <c r="Y451" s="2556"/>
      <c r="Z451" s="2042"/>
      <c r="AA451" s="2043"/>
      <c r="AB451" s="2044"/>
      <c r="AC451" s="2045"/>
      <c r="AD451" s="2044"/>
      <c r="AE451" s="2045"/>
      <c r="AF451" s="2555"/>
      <c r="AG451" s="2551"/>
      <c r="AH451" s="2551"/>
      <c r="AI451" s="2555"/>
      <c r="AJ451" s="2551"/>
      <c r="AK451" s="2551"/>
      <c r="AL451" s="1989"/>
      <c r="AM451" s="1826"/>
      <c r="AN451" s="1826"/>
      <c r="AO451" s="1826"/>
      <c r="AP451" s="1826"/>
      <c r="AQ451" s="1826"/>
      <c r="AR451" s="1826"/>
      <c r="AS451" s="1826"/>
      <c r="AT451" s="1826"/>
      <c r="AU451" s="1826"/>
      <c r="AV451" s="1826"/>
      <c r="AW451" s="1826"/>
      <c r="AX451" s="1826"/>
      <c r="AY451" s="1826"/>
      <c r="AZ451" s="1826"/>
      <c r="BA451" s="1826"/>
      <c r="BB451" s="1826"/>
      <c r="BC451" s="1826"/>
      <c r="BD451" s="1826"/>
      <c r="BE451" s="1826"/>
      <c r="BF451" s="1826"/>
      <c r="BG451" s="1639"/>
    </row>
    <row customHeight="1" ht="0.75">
      <c r="A452" s="1170" t="s">
        <v>1253</v>
      </c>
      <c r="B452" s="1170"/>
      <c r="C452" s="1170"/>
      <c r="D452" s="1164"/>
      <c r="E452" s="1174"/>
      <c r="F452" s="2553"/>
      <c r="G452" s="2532"/>
      <c r="H452" s="2557"/>
      <c r="I452" s="2558"/>
      <c r="J452" s="2559"/>
      <c r="K452" s="2559"/>
      <c r="L452" s="2551"/>
      <c r="M452" s="2285"/>
      <c r="N452" s="2560"/>
      <c r="O452" s="2561"/>
      <c r="P452" s="2607"/>
      <c r="Q452" s="2556"/>
      <c r="R452" s="2556"/>
      <c r="S452" s="2556"/>
      <c r="T452" s="2556"/>
      <c r="U452" s="2556"/>
      <c r="V452" s="2556"/>
      <c r="W452" s="2556"/>
      <c r="X452" s="2556"/>
      <c r="Y452" s="2556"/>
      <c r="Z452" s="2038"/>
      <c r="AA452" s="2039"/>
      <c r="AB452" s="2046"/>
      <c r="AC452" s="2040"/>
      <c r="AD452" s="2040"/>
      <c r="AE452" s="2047"/>
      <c r="AF452" s="2555"/>
      <c r="AG452" s="2551"/>
      <c r="AH452" s="2551"/>
      <c r="AI452" s="2555"/>
      <c r="AJ452" s="2551"/>
      <c r="AK452" s="2551"/>
      <c r="AL452" s="1989"/>
      <c r="AM452" s="1826"/>
      <c r="AN452" s="1826"/>
      <c r="AO452" s="1826"/>
      <c r="AP452" s="1826"/>
      <c r="AQ452" s="1826"/>
      <c r="AR452" s="1826"/>
      <c r="AS452" s="1826"/>
      <c r="AT452" s="1826"/>
      <c r="AU452" s="1826"/>
      <c r="AV452" s="1826"/>
      <c r="AW452" s="1826"/>
      <c r="AX452" s="1826"/>
      <c r="AY452" s="1826"/>
      <c r="AZ452" s="1826"/>
      <c r="BA452" s="1826"/>
      <c r="BB452" s="1826"/>
      <c r="BC452" s="1826"/>
      <c r="BD452" s="1826"/>
      <c r="BE452" s="1826"/>
      <c r="BF452" s="1826"/>
      <c r="BG452" s="1639"/>
    </row>
    <row customHeight="1" ht="0.75">
      <c r="A453" s="1170" t="s">
        <v>1253</v>
      </c>
      <c r="B453" s="1170"/>
      <c r="C453" s="1170"/>
      <c r="D453" s="1164"/>
      <c r="E453" s="1174"/>
      <c r="F453" s="2553"/>
      <c r="G453" s="2532"/>
      <c r="H453" s="2557"/>
      <c r="I453" s="2558"/>
      <c r="J453" s="2559"/>
      <c r="K453" s="2559"/>
      <c r="L453" s="2551"/>
      <c r="M453" s="2285"/>
      <c r="N453" s="2039"/>
      <c r="O453" s="2039"/>
      <c r="P453" s="2046"/>
      <c r="Q453" s="2039"/>
      <c r="R453" s="2039"/>
      <c r="S453" s="2039"/>
      <c r="T453" s="2039"/>
      <c r="U453" s="2039"/>
      <c r="V453" s="2039"/>
      <c r="W453" s="2039"/>
      <c r="X453" s="2039"/>
      <c r="Y453" s="2039"/>
      <c r="Z453" s="2039"/>
      <c r="AA453" s="2039"/>
      <c r="AB453" s="2039"/>
      <c r="AC453" s="2039"/>
      <c r="AD453" s="2039"/>
      <c r="AE453" s="2048"/>
      <c r="AF453" s="2555"/>
      <c r="AG453" s="2551"/>
      <c r="AH453" s="2551"/>
      <c r="AI453" s="2555"/>
      <c r="AJ453" s="2551"/>
      <c r="AK453" s="2551"/>
      <c r="AL453" s="1989"/>
      <c r="AM453" s="1826"/>
      <c r="AN453" s="1826"/>
      <c r="AO453" s="1826"/>
      <c r="AP453" s="1826"/>
      <c r="AQ453" s="1826"/>
      <c r="AR453" s="1826"/>
      <c r="AS453" s="1826"/>
      <c r="AT453" s="1826"/>
      <c r="AU453" s="1826"/>
      <c r="AV453" s="1826"/>
      <c r="AW453" s="1826"/>
      <c r="AX453" s="1826"/>
      <c r="AY453" s="1826"/>
      <c r="AZ453" s="1826"/>
      <c r="BA453" s="1826"/>
      <c r="BB453" s="1826"/>
      <c r="BC453" s="1826"/>
      <c r="BD453" s="1826"/>
      <c r="BE453" s="1826"/>
      <c r="BF453" s="1826"/>
      <c r="BG453" s="1639"/>
    </row>
    <row customHeight="1" ht="12">
      <c r="A454" s="1170" t="s">
        <v>1253</v>
      </c>
      <c r="B454" s="1170"/>
      <c r="C454" s="1170"/>
      <c r="D454" s="1164"/>
      <c r="E454" s="1174"/>
      <c r="F454" s="2554"/>
      <c r="G454" s="1194"/>
      <c r="H454" s="1194"/>
      <c r="I454" s="2552" t="s">
        <v>1300</v>
      </c>
      <c r="J454" s="2552"/>
      <c r="K454" s="2552"/>
      <c r="L454" s="1177"/>
      <c r="M454" s="1177"/>
      <c r="N454" s="1178"/>
      <c r="O454" s="1178"/>
      <c r="P454" s="1178"/>
      <c r="Q454" s="1178"/>
      <c r="R454" s="1178"/>
      <c r="S454" s="1178"/>
      <c r="T454" s="1178"/>
      <c r="U454" s="1178"/>
      <c r="V454" s="1178"/>
      <c r="W454" s="1178"/>
      <c r="X454" s="1178"/>
      <c r="Y454" s="1178"/>
      <c r="Z454" s="1178"/>
      <c r="AA454" s="1178"/>
      <c r="AB454" s="1178"/>
      <c r="AC454" s="1178"/>
      <c r="AD454" s="1178"/>
      <c r="AE454" s="1178"/>
      <c r="AF454" s="1178"/>
      <c r="AG454" s="1177"/>
      <c r="AH454" s="1177"/>
      <c r="AI454" s="1178"/>
      <c r="AJ454" s="1177"/>
      <c r="AK454" s="1178"/>
      <c r="AL454" s="1989"/>
      <c r="AM454" s="1826"/>
      <c r="AN454" s="1826"/>
      <c r="AO454" s="1826"/>
      <c r="AP454" s="1826"/>
      <c r="AQ454" s="1826"/>
      <c r="AR454" s="1826"/>
      <c r="AS454" s="1826"/>
      <c r="AT454" s="1826"/>
      <c r="AU454" s="1826"/>
      <c r="AV454" s="1826"/>
      <c r="AW454" s="1826"/>
      <c r="AX454" s="1826"/>
      <c r="AY454" s="1826"/>
      <c r="AZ454" s="1826"/>
      <c r="BA454" s="1826"/>
      <c r="BB454" s="1826"/>
      <c r="BC454" s="1826"/>
      <c r="BD454" s="1826"/>
      <c r="BE454" s="1826"/>
      <c r="BF454" s="1826"/>
      <c r="BG454" s="1639"/>
    </row>
    <row customHeight="1" ht="0.75">
      <c r="A455" s="1170" t="s">
        <v>1253</v>
      </c>
      <c r="B455" s="1170"/>
      <c r="C455" s="1170"/>
      <c r="D455" s="1164"/>
      <c r="E455" s="1174"/>
      <c r="F455" s="2553">
        <v>2023</v>
      </c>
      <c r="G455" s="2532"/>
      <c r="H455" s="2557" t="s">
        <v>514</v>
      </c>
      <c r="I455" s="2558"/>
      <c r="J455" s="2559"/>
      <c r="K455" s="2559"/>
      <c r="L455" s="2551"/>
      <c r="M455" s="2285"/>
      <c r="N455" s="2037"/>
      <c r="O455" s="2036"/>
      <c r="P455" s="2037"/>
      <c r="Q455" s="2037"/>
      <c r="R455" s="2037"/>
      <c r="S455" s="2037"/>
      <c r="T455" s="2037"/>
      <c r="U455" s="2037"/>
      <c r="V455" s="2037"/>
      <c r="W455" s="2037"/>
      <c r="X455" s="2037"/>
      <c r="Y455" s="2037"/>
      <c r="Z455" s="2037"/>
      <c r="AA455" s="2037"/>
      <c r="AB455" s="2037"/>
      <c r="AC455" s="2037"/>
      <c r="AD455" s="2037"/>
      <c r="AE455" s="2037"/>
      <c r="AF455" s="2555"/>
      <c r="AG455" s="2551"/>
      <c r="AH455" s="2551"/>
      <c r="AI455" s="2555"/>
      <c r="AJ455" s="2551"/>
      <c r="AK455" s="2551"/>
      <c r="AL455" s="1989"/>
      <c r="AM455" s="1826"/>
      <c r="AN455" s="1826"/>
      <c r="AO455" s="1826"/>
      <c r="AP455" s="1826"/>
      <c r="AQ455" s="1826"/>
      <c r="AR455" s="1826"/>
      <c r="AS455" s="1826"/>
      <c r="AT455" s="1826"/>
      <c r="AU455" s="1826"/>
      <c r="AV455" s="1826"/>
      <c r="AW455" s="1826"/>
      <c r="AX455" s="1826"/>
      <c r="AY455" s="1826"/>
      <c r="AZ455" s="1826"/>
      <c r="BA455" s="1826"/>
      <c r="BB455" s="1826"/>
      <c r="BC455" s="1826"/>
      <c r="BD455" s="1826"/>
      <c r="BE455" s="1826"/>
      <c r="BF455" s="1826"/>
      <c r="BG455" s="1639"/>
    </row>
    <row customHeight="1" ht="0.75">
      <c r="A456" s="1170" t="s">
        <v>1253</v>
      </c>
      <c r="B456" s="1170"/>
      <c r="C456" s="1170"/>
      <c r="D456" s="1164"/>
      <c r="E456" s="1174"/>
      <c r="F456" s="2553"/>
      <c r="G456" s="2532"/>
      <c r="H456" s="2557"/>
      <c r="I456" s="2558"/>
      <c r="J456" s="2559"/>
      <c r="K456" s="2559"/>
      <c r="L456" s="2551"/>
      <c r="M456" s="2285"/>
      <c r="N456" s="2560"/>
      <c r="O456" s="2561"/>
      <c r="P456" s="2605"/>
      <c r="Q456" s="2556"/>
      <c r="R456" s="2556"/>
      <c r="S456" s="2556"/>
      <c r="T456" s="2556"/>
      <c r="U456" s="2556"/>
      <c r="V456" s="2556"/>
      <c r="W456" s="2556"/>
      <c r="X456" s="2556"/>
      <c r="Y456" s="2556"/>
      <c r="Z456" s="2038"/>
      <c r="AA456" s="2039"/>
      <c r="AB456" s="2039"/>
      <c r="AC456" s="2040"/>
      <c r="AD456" s="2040"/>
      <c r="AE456" s="2041"/>
      <c r="AF456" s="2555"/>
      <c r="AG456" s="2551"/>
      <c r="AH456" s="2551"/>
      <c r="AI456" s="2555"/>
      <c r="AJ456" s="2551"/>
      <c r="AK456" s="2551"/>
      <c r="AL456" s="1989"/>
      <c r="AM456" s="1826"/>
      <c r="AN456" s="1826"/>
      <c r="AO456" s="1826"/>
      <c r="AP456" s="1826"/>
      <c r="AQ456" s="1826"/>
      <c r="AR456" s="1826"/>
      <c r="AS456" s="1826"/>
      <c r="AT456" s="1826"/>
      <c r="AU456" s="1826"/>
      <c r="AV456" s="1826"/>
      <c r="AW456" s="1826"/>
      <c r="AX456" s="1826"/>
      <c r="AY456" s="1826"/>
      <c r="AZ456" s="1826"/>
      <c r="BA456" s="1826"/>
      <c r="BB456" s="1826"/>
      <c r="BC456" s="1826"/>
      <c r="BD456" s="1826"/>
      <c r="BE456" s="1826"/>
      <c r="BF456" s="1826"/>
      <c r="BG456" s="1639"/>
    </row>
    <row customHeight="1" ht="0.75">
      <c r="A457" s="1170" t="s">
        <v>1253</v>
      </c>
      <c r="B457" s="1170"/>
      <c r="C457" s="1170"/>
      <c r="D457" s="1164"/>
      <c r="E457" s="1174"/>
      <c r="F457" s="2553"/>
      <c r="G457" s="2532"/>
      <c r="H457" s="2557"/>
      <c r="I457" s="2558"/>
      <c r="J457" s="2559"/>
      <c r="K457" s="2559"/>
      <c r="L457" s="2551"/>
      <c r="M457" s="2285"/>
      <c r="N457" s="2560"/>
      <c r="O457" s="2561"/>
      <c r="P457" s="2606"/>
      <c r="Q457" s="2556"/>
      <c r="R457" s="2556"/>
      <c r="S457" s="2556"/>
      <c r="T457" s="2556"/>
      <c r="U457" s="2556"/>
      <c r="V457" s="2556"/>
      <c r="W457" s="2556"/>
      <c r="X457" s="2556"/>
      <c r="Y457" s="2556"/>
      <c r="Z457" s="2042"/>
      <c r="AA457" s="2043"/>
      <c r="AB457" s="2044"/>
      <c r="AC457" s="2045"/>
      <c r="AD457" s="2044"/>
      <c r="AE457" s="2045"/>
      <c r="AF457" s="2555"/>
      <c r="AG457" s="2551"/>
      <c r="AH457" s="2551"/>
      <c r="AI457" s="2555"/>
      <c r="AJ457" s="2551"/>
      <c r="AK457" s="2551"/>
      <c r="AL457" s="1989"/>
      <c r="AM457" s="1826"/>
      <c r="AN457" s="1826"/>
      <c r="AO457" s="1826"/>
      <c r="AP457" s="1826"/>
      <c r="AQ457" s="1826"/>
      <c r="AR457" s="1826"/>
      <c r="AS457" s="1826"/>
      <c r="AT457" s="1826"/>
      <c r="AU457" s="1826"/>
      <c r="AV457" s="1826"/>
      <c r="AW457" s="1826"/>
      <c r="AX457" s="1826"/>
      <c r="AY457" s="1826"/>
      <c r="AZ457" s="1826"/>
      <c r="BA457" s="1826"/>
      <c r="BB457" s="1826"/>
      <c r="BC457" s="1826"/>
      <c r="BD457" s="1826"/>
      <c r="BE457" s="1826"/>
      <c r="BF457" s="1826"/>
      <c r="BG457" s="1639"/>
    </row>
    <row customHeight="1" ht="0.75">
      <c r="A458" s="1170" t="s">
        <v>1253</v>
      </c>
      <c r="B458" s="1170"/>
      <c r="C458" s="1170"/>
      <c r="D458" s="1164"/>
      <c r="E458" s="1174"/>
      <c r="F458" s="2553"/>
      <c r="G458" s="2532"/>
      <c r="H458" s="2557"/>
      <c r="I458" s="2558"/>
      <c r="J458" s="2559"/>
      <c r="K458" s="2559"/>
      <c r="L458" s="2551"/>
      <c r="M458" s="2285"/>
      <c r="N458" s="2560"/>
      <c r="O458" s="2561"/>
      <c r="P458" s="2607"/>
      <c r="Q458" s="2556"/>
      <c r="R458" s="2556"/>
      <c r="S458" s="2556"/>
      <c r="T458" s="2556"/>
      <c r="U458" s="2556"/>
      <c r="V458" s="2556"/>
      <c r="W458" s="2556"/>
      <c r="X458" s="2556"/>
      <c r="Y458" s="2556"/>
      <c r="Z458" s="2038"/>
      <c r="AA458" s="2039"/>
      <c r="AB458" s="2046"/>
      <c r="AC458" s="2040"/>
      <c r="AD458" s="2040"/>
      <c r="AE458" s="2047"/>
      <c r="AF458" s="2555"/>
      <c r="AG458" s="2551"/>
      <c r="AH458" s="2551"/>
      <c r="AI458" s="2555"/>
      <c r="AJ458" s="2551"/>
      <c r="AK458" s="2551"/>
      <c r="AL458" s="1989"/>
      <c r="AM458" s="1826"/>
      <c r="AN458" s="1826"/>
      <c r="AO458" s="1826"/>
      <c r="AP458" s="1826"/>
      <c r="AQ458" s="1826"/>
      <c r="AR458" s="1826"/>
      <c r="AS458" s="1826"/>
      <c r="AT458" s="1826"/>
      <c r="AU458" s="1826"/>
      <c r="AV458" s="1826"/>
      <c r="AW458" s="1826"/>
      <c r="AX458" s="1826"/>
      <c r="AY458" s="1826"/>
      <c r="AZ458" s="1826"/>
      <c r="BA458" s="1826"/>
      <c r="BB458" s="1826"/>
      <c r="BC458" s="1826"/>
      <c r="BD458" s="1826"/>
      <c r="BE458" s="1826"/>
      <c r="BF458" s="1826"/>
      <c r="BG458" s="1639"/>
    </row>
    <row customHeight="1" ht="0.75">
      <c r="A459" s="1170" t="s">
        <v>1253</v>
      </c>
      <c r="B459" s="1170"/>
      <c r="C459" s="1170"/>
      <c r="D459" s="1164"/>
      <c r="E459" s="1174"/>
      <c r="F459" s="2553"/>
      <c r="G459" s="2532"/>
      <c r="H459" s="2557"/>
      <c r="I459" s="2558"/>
      <c r="J459" s="2559"/>
      <c r="K459" s="2559"/>
      <c r="L459" s="2551"/>
      <c r="M459" s="2285"/>
      <c r="N459" s="2039"/>
      <c r="O459" s="2039"/>
      <c r="P459" s="2046"/>
      <c r="Q459" s="2039"/>
      <c r="R459" s="2039"/>
      <c r="S459" s="2039"/>
      <c r="T459" s="2039"/>
      <c r="U459" s="2039"/>
      <c r="V459" s="2039"/>
      <c r="W459" s="2039"/>
      <c r="X459" s="2039"/>
      <c r="Y459" s="2039"/>
      <c r="Z459" s="2039"/>
      <c r="AA459" s="2039"/>
      <c r="AB459" s="2039"/>
      <c r="AC459" s="2039"/>
      <c r="AD459" s="2039"/>
      <c r="AE459" s="2048"/>
      <c r="AF459" s="2555"/>
      <c r="AG459" s="2551"/>
      <c r="AH459" s="2551"/>
      <c r="AI459" s="2555"/>
      <c r="AJ459" s="2551"/>
      <c r="AK459" s="2551"/>
      <c r="AL459" s="1989"/>
      <c r="AM459" s="1826"/>
      <c r="AN459" s="1826"/>
      <c r="AO459" s="1826"/>
      <c r="AP459" s="1826"/>
      <c r="AQ459" s="1826"/>
      <c r="AR459" s="1826"/>
      <c r="AS459" s="1826"/>
      <c r="AT459" s="1826"/>
      <c r="AU459" s="1826"/>
      <c r="AV459" s="1826"/>
      <c r="AW459" s="1826"/>
      <c r="AX459" s="1826"/>
      <c r="AY459" s="1826"/>
      <c r="AZ459" s="1826"/>
      <c r="BA459" s="1826"/>
      <c r="BB459" s="1826"/>
      <c r="BC459" s="1826"/>
      <c r="BD459" s="1826"/>
      <c r="BE459" s="1826"/>
      <c r="BF459" s="1826"/>
      <c r="BG459" s="1639"/>
    </row>
    <row customHeight="1" ht="12">
      <c r="A460" s="1170" t="s">
        <v>1253</v>
      </c>
      <c r="B460" s="1170"/>
      <c r="C460" s="1170"/>
      <c r="D460" s="1164"/>
      <c r="E460" s="1174"/>
      <c r="F460" s="2554"/>
      <c r="G460" s="1194"/>
      <c r="H460" s="1194"/>
      <c r="I460" s="2552" t="s">
        <v>1300</v>
      </c>
      <c r="J460" s="2552"/>
      <c r="K460" s="2552"/>
      <c r="L460" s="1177"/>
      <c r="M460" s="1177"/>
      <c r="N460" s="1178"/>
      <c r="O460" s="1178"/>
      <c r="P460" s="1178"/>
      <c r="Q460" s="1178"/>
      <c r="R460" s="1178"/>
      <c r="S460" s="1178"/>
      <c r="T460" s="1178"/>
      <c r="U460" s="1178"/>
      <c r="V460" s="1178"/>
      <c r="W460" s="1178"/>
      <c r="X460" s="1178"/>
      <c r="Y460" s="1178"/>
      <c r="Z460" s="1178"/>
      <c r="AA460" s="1178"/>
      <c r="AB460" s="1178"/>
      <c r="AC460" s="1178"/>
      <c r="AD460" s="1178"/>
      <c r="AE460" s="1178"/>
      <c r="AF460" s="1178"/>
      <c r="AG460" s="1177"/>
      <c r="AH460" s="1177"/>
      <c r="AI460" s="1178"/>
      <c r="AJ460" s="1177"/>
      <c r="AK460" s="1178"/>
      <c r="AL460" s="1989"/>
      <c r="AM460" s="1826"/>
      <c r="AN460" s="1826"/>
      <c r="AO460" s="1826"/>
      <c r="AP460" s="1826"/>
      <c r="AQ460" s="1826"/>
      <c r="AR460" s="1826"/>
      <c r="AS460" s="1826"/>
      <c r="AT460" s="1826"/>
      <c r="AU460" s="1826"/>
      <c r="AV460" s="1826"/>
      <c r="AW460" s="1826"/>
      <c r="AX460" s="1826"/>
      <c r="AY460" s="1826"/>
      <c r="AZ460" s="1826"/>
      <c r="BA460" s="1826"/>
      <c r="BB460" s="1826"/>
      <c r="BC460" s="1826"/>
      <c r="BD460" s="1826"/>
      <c r="BE460" s="1826"/>
      <c r="BF460" s="1826"/>
      <c r="BG460" s="1639"/>
    </row>
    <row customHeight="1" ht="0.75">
      <c r="A461" s="1170" t="s">
        <v>1253</v>
      </c>
      <c r="B461" s="1170"/>
      <c r="C461" s="1170"/>
      <c r="D461" s="1164"/>
      <c r="E461" s="1174"/>
      <c r="F461" s="2553">
        <v>2024</v>
      </c>
      <c r="G461" s="2532"/>
      <c r="H461" s="2557" t="s">
        <v>514</v>
      </c>
      <c r="I461" s="2558"/>
      <c r="J461" s="2559"/>
      <c r="K461" s="2559"/>
      <c r="L461" s="2551"/>
      <c r="M461" s="2285"/>
      <c r="N461" s="2037"/>
      <c r="O461" s="2036"/>
      <c r="P461" s="2037"/>
      <c r="Q461" s="2037"/>
      <c r="R461" s="2037"/>
      <c r="S461" s="2037"/>
      <c r="T461" s="2037"/>
      <c r="U461" s="2037"/>
      <c r="V461" s="2037"/>
      <c r="W461" s="2037"/>
      <c r="X461" s="2037"/>
      <c r="Y461" s="2037"/>
      <c r="Z461" s="2037"/>
      <c r="AA461" s="2037"/>
      <c r="AB461" s="2037"/>
      <c r="AC461" s="2037"/>
      <c r="AD461" s="2037"/>
      <c r="AE461" s="2037"/>
      <c r="AF461" s="2555"/>
      <c r="AG461" s="2551"/>
      <c r="AH461" s="2551"/>
      <c r="AI461" s="2555"/>
      <c r="AJ461" s="2551"/>
      <c r="AK461" s="2551"/>
      <c r="AL461" s="1989"/>
      <c r="AM461" s="1826"/>
      <c r="AN461" s="1826"/>
      <c r="AO461" s="1826"/>
      <c r="AP461" s="1826"/>
      <c r="AQ461" s="1826"/>
      <c r="AR461" s="1826"/>
      <c r="AS461" s="1826"/>
      <c r="AT461" s="1826"/>
      <c r="AU461" s="1826"/>
      <c r="AV461" s="1826"/>
      <c r="AW461" s="1826"/>
      <c r="AX461" s="1826"/>
      <c r="AY461" s="1826"/>
      <c r="AZ461" s="1826"/>
      <c r="BA461" s="1826"/>
      <c r="BB461" s="1826"/>
      <c r="BC461" s="1826"/>
      <c r="BD461" s="1826"/>
      <c r="BE461" s="1826"/>
      <c r="BF461" s="1826"/>
      <c r="BG461" s="1639"/>
    </row>
    <row customHeight="1" ht="0.75">
      <c r="A462" s="1170" t="s">
        <v>1253</v>
      </c>
      <c r="B462" s="1170"/>
      <c r="C462" s="1170"/>
      <c r="D462" s="1164"/>
      <c r="E462" s="1174"/>
      <c r="F462" s="2553"/>
      <c r="G462" s="2532"/>
      <c r="H462" s="2557"/>
      <c r="I462" s="2558"/>
      <c r="J462" s="2559"/>
      <c r="K462" s="2559"/>
      <c r="L462" s="2551"/>
      <c r="M462" s="2285"/>
      <c r="N462" s="2560"/>
      <c r="O462" s="2561"/>
      <c r="P462" s="2605"/>
      <c r="Q462" s="2556"/>
      <c r="R462" s="2556"/>
      <c r="S462" s="2556"/>
      <c r="T462" s="2556"/>
      <c r="U462" s="2556"/>
      <c r="V462" s="2556"/>
      <c r="W462" s="2556"/>
      <c r="X462" s="2556"/>
      <c r="Y462" s="2556"/>
      <c r="Z462" s="2038"/>
      <c r="AA462" s="2039"/>
      <c r="AB462" s="2039"/>
      <c r="AC462" s="2040"/>
      <c r="AD462" s="2040"/>
      <c r="AE462" s="2041"/>
      <c r="AF462" s="2555"/>
      <c r="AG462" s="2551"/>
      <c r="AH462" s="2551"/>
      <c r="AI462" s="2555"/>
      <c r="AJ462" s="2551"/>
      <c r="AK462" s="2551"/>
      <c r="AL462" s="1989"/>
      <c r="AM462" s="1826"/>
      <c r="AN462" s="1826"/>
      <c r="AO462" s="1826"/>
      <c r="AP462" s="1826"/>
      <c r="AQ462" s="1826"/>
      <c r="AR462" s="1826"/>
      <c r="AS462" s="1826"/>
      <c r="AT462" s="1826"/>
      <c r="AU462" s="1826"/>
      <c r="AV462" s="1826"/>
      <c r="AW462" s="1826"/>
      <c r="AX462" s="1826"/>
      <c r="AY462" s="1826"/>
      <c r="AZ462" s="1826"/>
      <c r="BA462" s="1826"/>
      <c r="BB462" s="1826"/>
      <c r="BC462" s="1826"/>
      <c r="BD462" s="1826"/>
      <c r="BE462" s="1826"/>
      <c r="BF462" s="1826"/>
      <c r="BG462" s="1639"/>
    </row>
    <row customHeight="1" ht="0.75">
      <c r="A463" s="1170" t="s">
        <v>1253</v>
      </c>
      <c r="B463" s="1170"/>
      <c r="C463" s="1170"/>
      <c r="D463" s="1164"/>
      <c r="E463" s="1174"/>
      <c r="F463" s="2553"/>
      <c r="G463" s="2532"/>
      <c r="H463" s="2557"/>
      <c r="I463" s="2558"/>
      <c r="J463" s="2559"/>
      <c r="K463" s="2559"/>
      <c r="L463" s="2551"/>
      <c r="M463" s="2285"/>
      <c r="N463" s="2560"/>
      <c r="O463" s="2561"/>
      <c r="P463" s="2606"/>
      <c r="Q463" s="2556"/>
      <c r="R463" s="2556"/>
      <c r="S463" s="2556"/>
      <c r="T463" s="2556"/>
      <c r="U463" s="2556"/>
      <c r="V463" s="2556"/>
      <c r="W463" s="2556"/>
      <c r="X463" s="2556"/>
      <c r="Y463" s="2556"/>
      <c r="Z463" s="2042"/>
      <c r="AA463" s="2043"/>
      <c r="AB463" s="2044"/>
      <c r="AC463" s="2045"/>
      <c r="AD463" s="2044"/>
      <c r="AE463" s="2045"/>
      <c r="AF463" s="2555"/>
      <c r="AG463" s="2551"/>
      <c r="AH463" s="2551"/>
      <c r="AI463" s="2555"/>
      <c r="AJ463" s="2551"/>
      <c r="AK463" s="2551"/>
      <c r="AL463" s="1989"/>
      <c r="AM463" s="1826"/>
      <c r="AN463" s="1826"/>
      <c r="AO463" s="1826"/>
      <c r="AP463" s="1826"/>
      <c r="AQ463" s="1826"/>
      <c r="AR463" s="1826"/>
      <c r="AS463" s="1826"/>
      <c r="AT463" s="1826"/>
      <c r="AU463" s="1826"/>
      <c r="AV463" s="1826"/>
      <c r="AW463" s="1826"/>
      <c r="AX463" s="1826"/>
      <c r="AY463" s="1826"/>
      <c r="AZ463" s="1826"/>
      <c r="BA463" s="1826"/>
      <c r="BB463" s="1826"/>
      <c r="BC463" s="1826"/>
      <c r="BD463" s="1826"/>
      <c r="BE463" s="1826"/>
      <c r="BF463" s="1826"/>
      <c r="BG463" s="1639"/>
    </row>
    <row customHeight="1" ht="0.75">
      <c r="A464" s="1170" t="s">
        <v>1253</v>
      </c>
      <c r="B464" s="1170"/>
      <c r="C464" s="1170"/>
      <c r="D464" s="1164"/>
      <c r="E464" s="1174"/>
      <c r="F464" s="2553"/>
      <c r="G464" s="2532"/>
      <c r="H464" s="2557"/>
      <c r="I464" s="2558"/>
      <c r="J464" s="2559"/>
      <c r="K464" s="2559"/>
      <c r="L464" s="2551"/>
      <c r="M464" s="2285"/>
      <c r="N464" s="2560"/>
      <c r="O464" s="2561"/>
      <c r="P464" s="2607"/>
      <c r="Q464" s="2556"/>
      <c r="R464" s="2556"/>
      <c r="S464" s="2556"/>
      <c r="T464" s="2556"/>
      <c r="U464" s="2556"/>
      <c r="V464" s="2556"/>
      <c r="W464" s="2556"/>
      <c r="X464" s="2556"/>
      <c r="Y464" s="2556"/>
      <c r="Z464" s="2038"/>
      <c r="AA464" s="2039"/>
      <c r="AB464" s="2046"/>
      <c r="AC464" s="2040"/>
      <c r="AD464" s="2040"/>
      <c r="AE464" s="2047"/>
      <c r="AF464" s="2555"/>
      <c r="AG464" s="2551"/>
      <c r="AH464" s="2551"/>
      <c r="AI464" s="2555"/>
      <c r="AJ464" s="2551"/>
      <c r="AK464" s="2551"/>
      <c r="AL464" s="1989"/>
      <c r="AM464" s="1826"/>
      <c r="AN464" s="1826"/>
      <c r="AO464" s="1826"/>
      <c r="AP464" s="1826"/>
      <c r="AQ464" s="1826"/>
      <c r="AR464" s="1826"/>
      <c r="AS464" s="1826"/>
      <c r="AT464" s="1826"/>
      <c r="AU464" s="1826"/>
      <c r="AV464" s="1826"/>
      <c r="AW464" s="1826"/>
      <c r="AX464" s="1826"/>
      <c r="AY464" s="1826"/>
      <c r="AZ464" s="1826"/>
      <c r="BA464" s="1826"/>
      <c r="BB464" s="1826"/>
      <c r="BC464" s="1826"/>
      <c r="BD464" s="1826"/>
      <c r="BE464" s="1826"/>
      <c r="BF464" s="1826"/>
      <c r="BG464" s="1639"/>
    </row>
    <row customHeight="1" ht="0.75">
      <c r="A465" s="1170" t="s">
        <v>1253</v>
      </c>
      <c r="B465" s="1170"/>
      <c r="C465" s="1170"/>
      <c r="D465" s="1164"/>
      <c r="E465" s="1174"/>
      <c r="F465" s="2553"/>
      <c r="G465" s="2532"/>
      <c r="H465" s="2557"/>
      <c r="I465" s="2558"/>
      <c r="J465" s="2559"/>
      <c r="K465" s="2559"/>
      <c r="L465" s="2551"/>
      <c r="M465" s="2285"/>
      <c r="N465" s="2039"/>
      <c r="O465" s="2039"/>
      <c r="P465" s="2046"/>
      <c r="Q465" s="2039"/>
      <c r="R465" s="2039"/>
      <c r="S465" s="2039"/>
      <c r="T465" s="2039"/>
      <c r="U465" s="2039"/>
      <c r="V465" s="2039"/>
      <c r="W465" s="2039"/>
      <c r="X465" s="2039"/>
      <c r="Y465" s="2039"/>
      <c r="Z465" s="2039"/>
      <c r="AA465" s="2039"/>
      <c r="AB465" s="2039"/>
      <c r="AC465" s="2039"/>
      <c r="AD465" s="2039"/>
      <c r="AE465" s="2048"/>
      <c r="AF465" s="2555"/>
      <c r="AG465" s="2551"/>
      <c r="AH465" s="2551"/>
      <c r="AI465" s="2555"/>
      <c r="AJ465" s="2551"/>
      <c r="AK465" s="2551"/>
      <c r="AL465" s="1989"/>
      <c r="AM465" s="1826"/>
      <c r="AN465" s="1826"/>
      <c r="AO465" s="1826"/>
      <c r="AP465" s="1826"/>
      <c r="AQ465" s="1826"/>
      <c r="AR465" s="1826"/>
      <c r="AS465" s="1826"/>
      <c r="AT465" s="1826"/>
      <c r="AU465" s="1826"/>
      <c r="AV465" s="1826"/>
      <c r="AW465" s="1826"/>
      <c r="AX465" s="1826"/>
      <c r="AY465" s="1826"/>
      <c r="AZ465" s="1826"/>
      <c r="BA465" s="1826"/>
      <c r="BB465" s="1826"/>
      <c r="BC465" s="1826"/>
      <c r="BD465" s="1826"/>
      <c r="BE465" s="1826"/>
      <c r="BF465" s="1826"/>
      <c r="BG465" s="1639"/>
    </row>
    <row customHeight="1" ht="11.25">
      <c r="A466" s="1170" t="s">
        <v>1253</v>
      </c>
      <c r="B466" s="1170"/>
      <c r="C466" s="1170"/>
      <c r="D466" s="1164"/>
      <c r="E466" s="1174"/>
      <c r="F466" s="1832"/>
      <c r="G466" s="687" t="s">
        <v>103</v>
      </c>
      <c r="H466" s="2532" t="s">
        <v>105</v>
      </c>
      <c r="I466" s="2533"/>
      <c r="J466" s="2502"/>
      <c r="K466" s="2534" t="s">
        <v>1338</v>
      </c>
      <c r="L466" s="2124" t="s">
        <v>19</v>
      </c>
      <c r="M466" s="2125"/>
      <c r="N466" s="1987"/>
      <c r="O466" s="1181" t="s">
        <v>514</v>
      </c>
      <c r="P466" s="1182"/>
      <c r="Q466" s="1182"/>
      <c r="R466" s="1182"/>
      <c r="S466" s="1182"/>
      <c r="T466" s="1182"/>
      <c r="U466" s="1182"/>
      <c r="V466" s="1182"/>
      <c r="W466" s="1182"/>
      <c r="X466" s="1182"/>
      <c r="Y466" s="1182"/>
      <c r="Z466" s="1182"/>
      <c r="AA466" s="1182"/>
      <c r="AB466" s="1182"/>
      <c r="AC466" s="1182"/>
      <c r="AD466" s="1182"/>
      <c r="AE466" s="1182"/>
      <c r="AF466" s="2523">
        <v>9</v>
      </c>
      <c r="AG466" s="2524" t="s">
        <v>1302</v>
      </c>
      <c r="AH466" s="2524" t="s">
        <v>1334</v>
      </c>
      <c r="AI466" s="2523">
        <v>9</v>
      </c>
      <c r="AJ466" s="2524" t="s">
        <v>1302</v>
      </c>
      <c r="AK466" s="2524" t="s">
        <v>1334</v>
      </c>
      <c r="AL466" s="1989"/>
      <c r="AM466" s="1826"/>
      <c r="AN466" s="1826"/>
      <c r="AO466" s="1826"/>
      <c r="AP466" s="1826"/>
      <c r="AQ466" s="1826"/>
      <c r="AR466" s="1826"/>
      <c r="AS466" s="1826"/>
      <c r="AT466" s="1826"/>
      <c r="AU466" s="1826"/>
      <c r="AV466" s="1826"/>
      <c r="AW466" s="1826"/>
      <c r="AX466" s="1826"/>
      <c r="AY466" s="1826"/>
      <c r="AZ466" s="1826"/>
      <c r="BA466" s="1826"/>
      <c r="BB466" s="1826"/>
      <c r="BC466" s="1826"/>
      <c r="BD466" s="1826"/>
      <c r="BE466" s="1826"/>
      <c r="BF466" s="1826"/>
      <c r="BG466" s="1639"/>
    </row>
    <row customHeight="1" ht="11.25">
      <c r="A467" s="1170" t="s">
        <v>1253</v>
      </c>
      <c r="B467" s="1170"/>
      <c r="C467" s="1170"/>
      <c r="D467" s="1164"/>
      <c r="E467" s="1174"/>
      <c r="F467" s="1832"/>
      <c r="G467" s="1833"/>
      <c r="H467" s="2532" t="s">
        <v>514</v>
      </c>
      <c r="I467" s="2533"/>
      <c r="J467" s="2502"/>
      <c r="K467" s="2534"/>
      <c r="L467" s="2124"/>
      <c r="M467" s="2125"/>
      <c r="N467" s="2525"/>
      <c r="O467" s="2526">
        <v>1</v>
      </c>
      <c r="P467" s="2527" t="s">
        <v>19</v>
      </c>
      <c r="Q467" s="2530" t="s">
        <v>22</v>
      </c>
      <c r="R467" s="2530" t="s">
        <v>22</v>
      </c>
      <c r="S467" s="2530" t="s">
        <v>22</v>
      </c>
      <c r="T467" s="2530" t="s">
        <v>22</v>
      </c>
      <c r="U467" s="2530" t="s">
        <v>22</v>
      </c>
      <c r="V467" s="2530" t="s">
        <v>22</v>
      </c>
      <c r="W467" s="2530" t="s">
        <v>22</v>
      </c>
      <c r="X467" s="2530" t="s">
        <v>22</v>
      </c>
      <c r="Y467" s="2530"/>
      <c r="Z467" s="1179"/>
      <c r="AA467" s="1180"/>
      <c r="AB467" s="1180"/>
      <c r="AC467" s="1184"/>
      <c r="AD467" s="1184"/>
      <c r="AE467" s="1185"/>
      <c r="AF467" s="2523"/>
      <c r="AG467" s="2524"/>
      <c r="AH467" s="2524"/>
      <c r="AI467" s="2523"/>
      <c r="AJ467" s="2524"/>
      <c r="AK467" s="2524"/>
      <c r="AL467" s="1989"/>
      <c r="AM467" s="1826"/>
      <c r="AN467" s="1826"/>
      <c r="AO467" s="1826"/>
      <c r="AP467" s="1826"/>
      <c r="AQ467" s="1826"/>
      <c r="AR467" s="1826"/>
      <c r="AS467" s="1826"/>
      <c r="AT467" s="1826"/>
      <c r="AU467" s="1826"/>
      <c r="AV467" s="1826"/>
      <c r="AW467" s="1826"/>
      <c r="AX467" s="1826"/>
      <c r="AY467" s="1826"/>
      <c r="AZ467" s="1826"/>
      <c r="BA467" s="1826"/>
      <c r="BB467" s="1826"/>
      <c r="BC467" s="1826"/>
      <c r="BD467" s="1826"/>
      <c r="BE467" s="1826"/>
      <c r="BF467" s="1826"/>
      <c r="BG467" s="1639"/>
    </row>
    <row customHeight="1" ht="11.25">
      <c r="A468" s="1170" t="s">
        <v>1253</v>
      </c>
      <c r="B468" s="1170"/>
      <c r="C468" s="1170"/>
      <c r="D468" s="1164"/>
      <c r="E468" s="1174"/>
      <c r="F468" s="1832"/>
      <c r="G468" s="1833"/>
      <c r="H468" s="2532" t="s">
        <v>514</v>
      </c>
      <c r="I468" s="2533"/>
      <c r="J468" s="2502"/>
      <c r="K468" s="2534"/>
      <c r="L468" s="2124"/>
      <c r="M468" s="2125"/>
      <c r="N468" s="2525"/>
      <c r="O468" s="2526"/>
      <c r="P468" s="2528"/>
      <c r="Q468" s="2530"/>
      <c r="R468" s="2530"/>
      <c r="S468" s="2531"/>
      <c r="T468" s="2530"/>
      <c r="U468" s="2530"/>
      <c r="V468" s="2530"/>
      <c r="W468" s="2530"/>
      <c r="X468" s="2530"/>
      <c r="Y468" s="2530"/>
      <c r="Z468" s="1831"/>
      <c r="AA468" s="1797">
        <v>1</v>
      </c>
      <c r="AB468" s="1183" t="s">
        <v>1312</v>
      </c>
      <c r="AC468" s="1173">
        <v>0</v>
      </c>
      <c r="AD468" s="1183" t="str">
        <f>AB468</f>
        <v>  Прибыль направляемая на инвестиции</v>
      </c>
      <c r="AE468" s="1173">
        <v>0</v>
      </c>
      <c r="AF468" s="2523"/>
      <c r="AG468" s="2524"/>
      <c r="AH468" s="2524"/>
      <c r="AI468" s="2523"/>
      <c r="AJ468" s="2524"/>
      <c r="AK468" s="2524"/>
      <c r="AL468" s="1989"/>
      <c r="AM468" s="1826"/>
      <c r="AN468" s="1826"/>
      <c r="AO468" s="1826"/>
      <c r="AP468" s="1826"/>
      <c r="AQ468" s="1826"/>
      <c r="AR468" s="1826"/>
      <c r="AS468" s="1826"/>
      <c r="AT468" s="1826"/>
      <c r="AU468" s="1826"/>
      <c r="AV468" s="1826"/>
      <c r="AW468" s="1826"/>
      <c r="AX468" s="1826"/>
      <c r="AY468" s="1826"/>
      <c r="AZ468" s="1826"/>
      <c r="BA468" s="1826"/>
      <c r="BB468" s="1826"/>
      <c r="BC468" s="1826"/>
      <c r="BD468" s="1826"/>
      <c r="BE468" s="1826"/>
      <c r="BF468" s="1826"/>
      <c r="BG468" s="1639"/>
    </row>
    <row customHeight="1" ht="11.25">
      <c r="A469" s="1170" t="s">
        <v>1253</v>
      </c>
      <c r="B469" s="1170"/>
      <c r="C469" s="1170"/>
      <c r="D469" s="1164"/>
      <c r="E469" s="1174"/>
      <c r="F469" s="1832"/>
      <c r="G469" s="1833"/>
      <c r="H469" s="2532" t="s">
        <v>514</v>
      </c>
      <c r="I469" s="2533"/>
      <c r="J469" s="2502"/>
      <c r="K469" s="2534"/>
      <c r="L469" s="2124"/>
      <c r="M469" s="2125"/>
      <c r="N469" s="2525"/>
      <c r="O469" s="2526"/>
      <c r="P469" s="2529"/>
      <c r="Q469" s="2530"/>
      <c r="R469" s="2530"/>
      <c r="S469" s="2531"/>
      <c r="T469" s="2530"/>
      <c r="U469" s="2530"/>
      <c r="V469" s="2530"/>
      <c r="W469" s="2530"/>
      <c r="X469" s="2530"/>
      <c r="Y469" s="2530"/>
      <c r="Z469" s="1179"/>
      <c r="AA469" s="1180"/>
      <c r="AB469" s="1245" t="s">
        <v>1313</v>
      </c>
      <c r="AC469" s="1184"/>
      <c r="AD469" s="1184"/>
      <c r="AE469" s="1186"/>
      <c r="AF469" s="2523"/>
      <c r="AG469" s="2524"/>
      <c r="AH469" s="2524"/>
      <c r="AI469" s="2523"/>
      <c r="AJ469" s="2524"/>
      <c r="AK469" s="2524"/>
      <c r="AL469" s="1989"/>
      <c r="AM469" s="1826"/>
      <c r="AN469" s="1826"/>
      <c r="AO469" s="1826"/>
      <c r="AP469" s="1826"/>
      <c r="AQ469" s="1826"/>
      <c r="AR469" s="1826"/>
      <c r="AS469" s="1826"/>
      <c r="AT469" s="1826"/>
      <c r="AU469" s="1826"/>
      <c r="AV469" s="1826"/>
      <c r="AW469" s="1826"/>
      <c r="AX469" s="1826"/>
      <c r="AY469" s="1826"/>
      <c r="AZ469" s="1826"/>
      <c r="BA469" s="1826"/>
      <c r="BB469" s="1826"/>
      <c r="BC469" s="1826"/>
      <c r="BD469" s="1826"/>
      <c r="BE469" s="1826"/>
      <c r="BF469" s="1826"/>
      <c r="BG469" s="1639"/>
    </row>
    <row customHeight="1" ht="11.25">
      <c r="A470" s="1170" t="s">
        <v>1253</v>
      </c>
      <c r="B470" s="1170"/>
      <c r="C470" s="1170"/>
      <c r="D470" s="1164"/>
      <c r="E470" s="1174"/>
      <c r="F470" s="1832"/>
      <c r="G470" s="1833"/>
      <c r="H470" s="2532" t="s">
        <v>514</v>
      </c>
      <c r="I470" s="2533"/>
      <c r="J470" s="2502"/>
      <c r="K470" s="2534"/>
      <c r="L470" s="2124"/>
      <c r="M470" s="2125"/>
      <c r="N470" s="1179"/>
      <c r="O470" s="1180"/>
      <c r="P470" s="1172" t="s">
        <v>1314</v>
      </c>
      <c r="Q470" s="1180"/>
      <c r="R470" s="1180"/>
      <c r="S470" s="1180"/>
      <c r="T470" s="1180"/>
      <c r="U470" s="1180"/>
      <c r="V470" s="1180"/>
      <c r="W470" s="1180"/>
      <c r="X470" s="1180"/>
      <c r="Y470" s="1180"/>
      <c r="Z470" s="1180"/>
      <c r="AA470" s="1180"/>
      <c r="AB470" s="1180"/>
      <c r="AC470" s="1180"/>
      <c r="AD470" s="1180"/>
      <c r="AE470" s="1187"/>
      <c r="AF470" s="2523"/>
      <c r="AG470" s="2524"/>
      <c r="AH470" s="2524"/>
      <c r="AI470" s="2523"/>
      <c r="AJ470" s="2524"/>
      <c r="AK470" s="2524"/>
      <c r="AL470" s="1989"/>
      <c r="AM470" s="1826"/>
      <c r="AN470" s="1826"/>
      <c r="AO470" s="1826"/>
      <c r="AP470" s="1826"/>
      <c r="AQ470" s="1826"/>
      <c r="AR470" s="1826"/>
      <c r="AS470" s="1826"/>
      <c r="AT470" s="1826"/>
      <c r="AU470" s="1826"/>
      <c r="AV470" s="1826"/>
      <c r="AW470" s="1826"/>
      <c r="AX470" s="1826"/>
      <c r="AY470" s="1826"/>
      <c r="AZ470" s="1826"/>
      <c r="BA470" s="1826"/>
      <c r="BB470" s="1826"/>
      <c r="BC470" s="1826"/>
      <c r="BD470" s="1826"/>
      <c r="BE470" s="1826"/>
      <c r="BF470" s="1826"/>
      <c r="BG470" s="1639"/>
    </row>
    <row customHeight="1" ht="12">
      <c r="A471" s="1170" t="s">
        <v>1253</v>
      </c>
      <c r="B471" s="1170"/>
      <c r="C471" s="1170"/>
      <c r="D471" s="1164"/>
      <c r="E471" s="1174"/>
      <c r="F471" s="2554"/>
      <c r="G471" s="1194"/>
      <c r="H471" s="1194"/>
      <c r="I471" s="2552" t="s">
        <v>1300</v>
      </c>
      <c r="J471" s="2552"/>
      <c r="K471" s="2552"/>
      <c r="L471" s="1177"/>
      <c r="M471" s="1177"/>
      <c r="N471" s="1178"/>
      <c r="O471" s="1178"/>
      <c r="P471" s="1178"/>
      <c r="Q471" s="1178"/>
      <c r="R471" s="1178"/>
      <c r="S471" s="1178"/>
      <c r="T471" s="1178"/>
      <c r="U471" s="1178"/>
      <c r="V471" s="1178"/>
      <c r="W471" s="1178"/>
      <c r="X471" s="1178"/>
      <c r="Y471" s="1178"/>
      <c r="Z471" s="1178"/>
      <c r="AA471" s="1178"/>
      <c r="AB471" s="1178"/>
      <c r="AC471" s="1178"/>
      <c r="AD471" s="1178"/>
      <c r="AE471" s="1178"/>
      <c r="AF471" s="1178"/>
      <c r="AG471" s="1177"/>
      <c r="AH471" s="1177"/>
      <c r="AI471" s="1178"/>
      <c r="AJ471" s="1177"/>
      <c r="AK471" s="1178"/>
      <c r="AL471" s="1989"/>
      <c r="AM471" s="1826"/>
      <c r="AN471" s="1826"/>
      <c r="AO471" s="1826"/>
      <c r="AP471" s="1826"/>
      <c r="AQ471" s="1826"/>
      <c r="AR471" s="1826"/>
      <c r="AS471" s="1826"/>
      <c r="AT471" s="1826"/>
      <c r="AU471" s="1826"/>
      <c r="AV471" s="1826"/>
      <c r="AW471" s="1826"/>
      <c r="AX471" s="1826"/>
      <c r="AY471" s="1826"/>
      <c r="AZ471" s="1826"/>
      <c r="BA471" s="1826"/>
      <c r="BB471" s="1826"/>
      <c r="BC471" s="1826"/>
      <c r="BD471" s="1826"/>
      <c r="BE471" s="1826"/>
      <c r="BF471" s="1826"/>
      <c r="BG471" s="1639"/>
    </row>
    <row customHeight="1" ht="0.75">
      <c r="A472" s="1170" t="s">
        <v>1253</v>
      </c>
      <c r="B472" s="1170"/>
      <c r="C472" s="1170"/>
      <c r="D472" s="1164"/>
      <c r="E472" s="1174"/>
      <c r="F472" s="2553">
        <v>2025</v>
      </c>
      <c r="G472" s="2532"/>
      <c r="H472" s="2557" t="s">
        <v>514</v>
      </c>
      <c r="I472" s="2558"/>
      <c r="J472" s="2559"/>
      <c r="K472" s="2559"/>
      <c r="L472" s="2551"/>
      <c r="M472" s="2285"/>
      <c r="N472" s="2037"/>
      <c r="O472" s="2036"/>
      <c r="P472" s="2037"/>
      <c r="Q472" s="2037"/>
      <c r="R472" s="2037"/>
      <c r="S472" s="2037"/>
      <c r="T472" s="2037"/>
      <c r="U472" s="2037"/>
      <c r="V472" s="2037"/>
      <c r="W472" s="2037"/>
      <c r="X472" s="2037"/>
      <c r="Y472" s="2037"/>
      <c r="Z472" s="2037"/>
      <c r="AA472" s="2037"/>
      <c r="AB472" s="2037"/>
      <c r="AC472" s="2037"/>
      <c r="AD472" s="2037"/>
      <c r="AE472" s="2037"/>
      <c r="AF472" s="2555"/>
      <c r="AG472" s="2551"/>
      <c r="AH472" s="2551"/>
      <c r="AI472" s="2555"/>
      <c r="AJ472" s="2551"/>
      <c r="AK472" s="2551"/>
      <c r="AL472" s="1989"/>
      <c r="AM472" s="1826"/>
      <c r="AN472" s="1826"/>
      <c r="AO472" s="1826"/>
      <c r="AP472" s="1826"/>
      <c r="AQ472" s="1826"/>
      <c r="AR472" s="1826"/>
      <c r="AS472" s="1826"/>
      <c r="AT472" s="1826"/>
      <c r="AU472" s="1826"/>
      <c r="AV472" s="1826"/>
      <c r="AW472" s="1826"/>
      <c r="AX472" s="1826"/>
      <c r="AY472" s="1826"/>
      <c r="AZ472" s="1826"/>
      <c r="BA472" s="1826"/>
      <c r="BB472" s="1826"/>
      <c r="BC472" s="1826"/>
      <c r="BD472" s="1826"/>
      <c r="BE472" s="1826"/>
      <c r="BF472" s="1826"/>
      <c r="BG472" s="1639"/>
    </row>
    <row customHeight="1" ht="0.75">
      <c r="A473" s="1170" t="s">
        <v>1253</v>
      </c>
      <c r="B473" s="1170"/>
      <c r="C473" s="1170"/>
      <c r="D473" s="1164"/>
      <c r="E473" s="1174"/>
      <c r="F473" s="2553"/>
      <c r="G473" s="2532"/>
      <c r="H473" s="2557"/>
      <c r="I473" s="2558"/>
      <c r="J473" s="2559"/>
      <c r="K473" s="2559"/>
      <c r="L473" s="2551"/>
      <c r="M473" s="2285"/>
      <c r="N473" s="2560"/>
      <c r="O473" s="2561"/>
      <c r="P473" s="2605"/>
      <c r="Q473" s="2556"/>
      <c r="R473" s="2556"/>
      <c r="S473" s="2556"/>
      <c r="T473" s="2556"/>
      <c r="U473" s="2556"/>
      <c r="V473" s="2556"/>
      <c r="W473" s="2556"/>
      <c r="X473" s="2556"/>
      <c r="Y473" s="2556"/>
      <c r="Z473" s="2038"/>
      <c r="AA473" s="2039"/>
      <c r="AB473" s="2039"/>
      <c r="AC473" s="2040"/>
      <c r="AD473" s="2040"/>
      <c r="AE473" s="2041"/>
      <c r="AF473" s="2555"/>
      <c r="AG473" s="2551"/>
      <c r="AH473" s="2551"/>
      <c r="AI473" s="2555"/>
      <c r="AJ473" s="2551"/>
      <c r="AK473" s="2551"/>
      <c r="AL473" s="1989"/>
      <c r="AM473" s="1826"/>
      <c r="AN473" s="1826"/>
      <c r="AO473" s="1826"/>
      <c r="AP473" s="1826"/>
      <c r="AQ473" s="1826"/>
      <c r="AR473" s="1826"/>
      <c r="AS473" s="1826"/>
      <c r="AT473" s="1826"/>
      <c r="AU473" s="1826"/>
      <c r="AV473" s="1826"/>
      <c r="AW473" s="1826"/>
      <c r="AX473" s="1826"/>
      <c r="AY473" s="1826"/>
      <c r="AZ473" s="1826"/>
      <c r="BA473" s="1826"/>
      <c r="BB473" s="1826"/>
      <c r="BC473" s="1826"/>
      <c r="BD473" s="1826"/>
      <c r="BE473" s="1826"/>
      <c r="BF473" s="1826"/>
      <c r="BG473" s="1639"/>
    </row>
    <row customHeight="1" ht="0.75">
      <c r="A474" s="1170" t="s">
        <v>1253</v>
      </c>
      <c r="B474" s="1170"/>
      <c r="C474" s="1170"/>
      <c r="D474" s="1164"/>
      <c r="E474" s="1174"/>
      <c r="F474" s="2553"/>
      <c r="G474" s="2532"/>
      <c r="H474" s="2557"/>
      <c r="I474" s="2558"/>
      <c r="J474" s="2559"/>
      <c r="K474" s="2559"/>
      <c r="L474" s="2551"/>
      <c r="M474" s="2285"/>
      <c r="N474" s="2560"/>
      <c r="O474" s="2561"/>
      <c r="P474" s="2606"/>
      <c r="Q474" s="2556"/>
      <c r="R474" s="2556"/>
      <c r="S474" s="2556"/>
      <c r="T474" s="2556"/>
      <c r="U474" s="2556"/>
      <c r="V474" s="2556"/>
      <c r="W474" s="2556"/>
      <c r="X474" s="2556"/>
      <c r="Y474" s="2556"/>
      <c r="Z474" s="2042"/>
      <c r="AA474" s="2043"/>
      <c r="AB474" s="2044"/>
      <c r="AC474" s="2045"/>
      <c r="AD474" s="2044"/>
      <c r="AE474" s="2045"/>
      <c r="AF474" s="2555"/>
      <c r="AG474" s="2551"/>
      <c r="AH474" s="2551"/>
      <c r="AI474" s="2555"/>
      <c r="AJ474" s="2551"/>
      <c r="AK474" s="2551"/>
      <c r="AL474" s="1989"/>
      <c r="AM474" s="1826"/>
      <c r="AN474" s="1826"/>
      <c r="AO474" s="1826"/>
      <c r="AP474" s="1826"/>
      <c r="AQ474" s="1826"/>
      <c r="AR474" s="1826"/>
      <c r="AS474" s="1826"/>
      <c r="AT474" s="1826"/>
      <c r="AU474" s="1826"/>
      <c r="AV474" s="1826"/>
      <c r="AW474" s="1826"/>
      <c r="AX474" s="1826"/>
      <c r="AY474" s="1826"/>
      <c r="AZ474" s="1826"/>
      <c r="BA474" s="1826"/>
      <c r="BB474" s="1826"/>
      <c r="BC474" s="1826"/>
      <c r="BD474" s="1826"/>
      <c r="BE474" s="1826"/>
      <c r="BF474" s="1826"/>
      <c r="BG474" s="1639"/>
    </row>
    <row customHeight="1" ht="0.75">
      <c r="A475" s="1170" t="s">
        <v>1253</v>
      </c>
      <c r="B475" s="1170"/>
      <c r="C475" s="1170"/>
      <c r="D475" s="1164"/>
      <c r="E475" s="1174"/>
      <c r="F475" s="2553"/>
      <c r="G475" s="2532"/>
      <c r="H475" s="2557"/>
      <c r="I475" s="2558"/>
      <c r="J475" s="2559"/>
      <c r="K475" s="2559"/>
      <c r="L475" s="2551"/>
      <c r="M475" s="2285"/>
      <c r="N475" s="2560"/>
      <c r="O475" s="2561"/>
      <c r="P475" s="2607"/>
      <c r="Q475" s="2556"/>
      <c r="R475" s="2556"/>
      <c r="S475" s="2556"/>
      <c r="T475" s="2556"/>
      <c r="U475" s="2556"/>
      <c r="V475" s="2556"/>
      <c r="W475" s="2556"/>
      <c r="X475" s="2556"/>
      <c r="Y475" s="2556"/>
      <c r="Z475" s="2038"/>
      <c r="AA475" s="2039"/>
      <c r="AB475" s="2046"/>
      <c r="AC475" s="2040"/>
      <c r="AD475" s="2040"/>
      <c r="AE475" s="2047"/>
      <c r="AF475" s="2555"/>
      <c r="AG475" s="2551"/>
      <c r="AH475" s="2551"/>
      <c r="AI475" s="2555"/>
      <c r="AJ475" s="2551"/>
      <c r="AK475" s="2551"/>
      <c r="AL475" s="1989"/>
      <c r="AM475" s="1826"/>
      <c r="AN475" s="1826"/>
      <c r="AO475" s="1826"/>
      <c r="AP475" s="1826"/>
      <c r="AQ475" s="1826"/>
      <c r="AR475" s="1826"/>
      <c r="AS475" s="1826"/>
      <c r="AT475" s="1826"/>
      <c r="AU475" s="1826"/>
      <c r="AV475" s="1826"/>
      <c r="AW475" s="1826"/>
      <c r="AX475" s="1826"/>
      <c r="AY475" s="1826"/>
      <c r="AZ475" s="1826"/>
      <c r="BA475" s="1826"/>
      <c r="BB475" s="1826"/>
      <c r="BC475" s="1826"/>
      <c r="BD475" s="1826"/>
      <c r="BE475" s="1826"/>
      <c r="BF475" s="1826"/>
      <c r="BG475" s="1639"/>
    </row>
    <row customHeight="1" ht="0.75">
      <c r="A476" s="1170" t="s">
        <v>1253</v>
      </c>
      <c r="B476" s="1170"/>
      <c r="C476" s="1170"/>
      <c r="D476" s="1164"/>
      <c r="E476" s="1174"/>
      <c r="F476" s="2553"/>
      <c r="G476" s="2532"/>
      <c r="H476" s="2557"/>
      <c r="I476" s="2558"/>
      <c r="J476" s="2559"/>
      <c r="K476" s="2559"/>
      <c r="L476" s="2551"/>
      <c r="M476" s="2285"/>
      <c r="N476" s="2039"/>
      <c r="O476" s="2039"/>
      <c r="P476" s="2046"/>
      <c r="Q476" s="2039"/>
      <c r="R476" s="2039"/>
      <c r="S476" s="2039"/>
      <c r="T476" s="2039"/>
      <c r="U476" s="2039"/>
      <c r="V476" s="2039"/>
      <c r="W476" s="2039"/>
      <c r="X476" s="2039"/>
      <c r="Y476" s="2039"/>
      <c r="Z476" s="2039"/>
      <c r="AA476" s="2039"/>
      <c r="AB476" s="2039"/>
      <c r="AC476" s="2039"/>
      <c r="AD476" s="2039"/>
      <c r="AE476" s="2048"/>
      <c r="AF476" s="2555"/>
      <c r="AG476" s="2551"/>
      <c r="AH476" s="2551"/>
      <c r="AI476" s="2555"/>
      <c r="AJ476" s="2551"/>
      <c r="AK476" s="2551"/>
      <c r="AL476" s="1989"/>
      <c r="AM476" s="1826"/>
      <c r="AN476" s="1826"/>
      <c r="AO476" s="1826"/>
      <c r="AP476" s="1826"/>
      <c r="AQ476" s="1826"/>
      <c r="AR476" s="1826"/>
      <c r="AS476" s="1826"/>
      <c r="AT476" s="1826"/>
      <c r="AU476" s="1826"/>
      <c r="AV476" s="1826"/>
      <c r="AW476" s="1826"/>
      <c r="AX476" s="1826"/>
      <c r="AY476" s="1826"/>
      <c r="AZ476" s="1826"/>
      <c r="BA476" s="1826"/>
      <c r="BB476" s="1826"/>
      <c r="BC476" s="1826"/>
      <c r="BD476" s="1826"/>
      <c r="BE476" s="1826"/>
      <c r="BF476" s="1826"/>
      <c r="BG476" s="1639"/>
    </row>
    <row customHeight="1" ht="12">
      <c r="A477" s="1170" t="s">
        <v>1253</v>
      </c>
      <c r="B477" s="1170"/>
      <c r="C477" s="1170"/>
      <c r="D477" s="1164"/>
      <c r="E477" s="1174"/>
      <c r="F477" s="2554"/>
      <c r="G477" s="1194"/>
      <c r="H477" s="1194"/>
      <c r="I477" s="2552" t="s">
        <v>1300</v>
      </c>
      <c r="J477" s="2552"/>
      <c r="K477" s="2552"/>
      <c r="L477" s="1177"/>
      <c r="M477" s="1177"/>
      <c r="N477" s="1178"/>
      <c r="O477" s="1178"/>
      <c r="P477" s="1178"/>
      <c r="Q477" s="1178"/>
      <c r="R477" s="1178"/>
      <c r="S477" s="1178"/>
      <c r="T477" s="1178"/>
      <c r="U477" s="1178"/>
      <c r="V477" s="1178"/>
      <c r="W477" s="1178"/>
      <c r="X477" s="1178"/>
      <c r="Y477" s="1178"/>
      <c r="Z477" s="1178"/>
      <c r="AA477" s="1178"/>
      <c r="AB477" s="1178"/>
      <c r="AC477" s="1178"/>
      <c r="AD477" s="1178"/>
      <c r="AE477" s="1178"/>
      <c r="AF477" s="1178"/>
      <c r="AG477" s="1177"/>
      <c r="AH477" s="1177"/>
      <c r="AI477" s="1178"/>
      <c r="AJ477" s="1177"/>
      <c r="AK477" s="1178"/>
      <c r="AL477" s="1989"/>
      <c r="AM477" s="1826"/>
      <c r="AN477" s="1826"/>
      <c r="AO477" s="1826"/>
      <c r="AP477" s="1826"/>
      <c r="AQ477" s="1826"/>
      <c r="AR477" s="1826"/>
      <c r="AS477" s="1826"/>
      <c r="AT477" s="1826"/>
      <c r="AU477" s="1826"/>
      <c r="AV477" s="1826"/>
      <c r="AW477" s="1826"/>
      <c r="AX477" s="1826"/>
      <c r="AY477" s="1826"/>
      <c r="AZ477" s="1826"/>
      <c r="BA477" s="1826"/>
      <c r="BB477" s="1826"/>
      <c r="BC477" s="1826"/>
      <c r="BD477" s="1826"/>
      <c r="BE477" s="1826"/>
      <c r="BF477" s="1826"/>
      <c r="BG477" s="1639"/>
    </row>
    <row customHeight="1" ht="0.75">
      <c r="A478" s="1170" t="s">
        <v>1253</v>
      </c>
      <c r="B478" s="1170"/>
      <c r="C478" s="1170"/>
      <c r="D478" s="1164"/>
      <c r="E478" s="1174"/>
      <c r="F478" s="2553">
        <v>2026</v>
      </c>
      <c r="G478" s="2532"/>
      <c r="H478" s="2557" t="s">
        <v>514</v>
      </c>
      <c r="I478" s="2558"/>
      <c r="J478" s="2559"/>
      <c r="K478" s="2559"/>
      <c r="L478" s="2551"/>
      <c r="M478" s="2285"/>
      <c r="N478" s="2037"/>
      <c r="O478" s="2036"/>
      <c r="P478" s="2037"/>
      <c r="Q478" s="2037"/>
      <c r="R478" s="2037"/>
      <c r="S478" s="2037"/>
      <c r="T478" s="2037"/>
      <c r="U478" s="2037"/>
      <c r="V478" s="2037"/>
      <c r="W478" s="2037"/>
      <c r="X478" s="2037"/>
      <c r="Y478" s="2037"/>
      <c r="Z478" s="2037"/>
      <c r="AA478" s="2037"/>
      <c r="AB478" s="2037"/>
      <c r="AC478" s="2037"/>
      <c r="AD478" s="2037"/>
      <c r="AE478" s="2037"/>
      <c r="AF478" s="2555"/>
      <c r="AG478" s="2551"/>
      <c r="AH478" s="2551"/>
      <c r="AI478" s="2555"/>
      <c r="AJ478" s="2551"/>
      <c r="AK478" s="2551"/>
      <c r="AL478" s="1989"/>
      <c r="AM478" s="1826"/>
      <c r="AN478" s="1826"/>
      <c r="AO478" s="1826"/>
      <c r="AP478" s="1826"/>
      <c r="AQ478" s="1826"/>
      <c r="AR478" s="1826"/>
      <c r="AS478" s="1826"/>
      <c r="AT478" s="1826"/>
      <c r="AU478" s="1826"/>
      <c r="AV478" s="1826"/>
      <c r="AW478" s="1826"/>
      <c r="AX478" s="1826"/>
      <c r="AY478" s="1826"/>
      <c r="AZ478" s="1826"/>
      <c r="BA478" s="1826"/>
      <c r="BB478" s="1826"/>
      <c r="BC478" s="1826"/>
      <c r="BD478" s="1826"/>
      <c r="BE478" s="1826"/>
      <c r="BF478" s="1826"/>
      <c r="BG478" s="1639"/>
    </row>
    <row customHeight="1" ht="0.75">
      <c r="A479" s="1170" t="s">
        <v>1253</v>
      </c>
      <c r="B479" s="1170"/>
      <c r="C479" s="1170"/>
      <c r="D479" s="1164"/>
      <c r="E479" s="1174"/>
      <c r="F479" s="2553"/>
      <c r="G479" s="2532"/>
      <c r="H479" s="2557"/>
      <c r="I479" s="2558"/>
      <c r="J479" s="2559"/>
      <c r="K479" s="2559"/>
      <c r="L479" s="2551"/>
      <c r="M479" s="2285"/>
      <c r="N479" s="2560"/>
      <c r="O479" s="2561"/>
      <c r="P479" s="2605"/>
      <c r="Q479" s="2556"/>
      <c r="R479" s="2556"/>
      <c r="S479" s="2556"/>
      <c r="T479" s="2556"/>
      <c r="U479" s="2556"/>
      <c r="V479" s="2556"/>
      <c r="W479" s="2556"/>
      <c r="X479" s="2556"/>
      <c r="Y479" s="2556"/>
      <c r="Z479" s="2038"/>
      <c r="AA479" s="2039"/>
      <c r="AB479" s="2039"/>
      <c r="AC479" s="2040"/>
      <c r="AD479" s="2040"/>
      <c r="AE479" s="2041"/>
      <c r="AF479" s="2555"/>
      <c r="AG479" s="2551"/>
      <c r="AH479" s="2551"/>
      <c r="AI479" s="2555"/>
      <c r="AJ479" s="2551"/>
      <c r="AK479" s="2551"/>
      <c r="AL479" s="1989"/>
      <c r="AM479" s="1826"/>
      <c r="AN479" s="1826"/>
      <c r="AO479" s="1826"/>
      <c r="AP479" s="1826"/>
      <c r="AQ479" s="1826"/>
      <c r="AR479" s="1826"/>
      <c r="AS479" s="1826"/>
      <c r="AT479" s="1826"/>
      <c r="AU479" s="1826"/>
      <c r="AV479" s="1826"/>
      <c r="AW479" s="1826"/>
      <c r="AX479" s="1826"/>
      <c r="AY479" s="1826"/>
      <c r="AZ479" s="1826"/>
      <c r="BA479" s="1826"/>
      <c r="BB479" s="1826"/>
      <c r="BC479" s="1826"/>
      <c r="BD479" s="1826"/>
      <c r="BE479" s="1826"/>
      <c r="BF479" s="1826"/>
      <c r="BG479" s="1639"/>
    </row>
    <row customHeight="1" ht="0.75">
      <c r="A480" s="1170" t="s">
        <v>1253</v>
      </c>
      <c r="B480" s="1170"/>
      <c r="C480" s="1170"/>
      <c r="D480" s="1164"/>
      <c r="E480" s="1174"/>
      <c r="F480" s="2553"/>
      <c r="G480" s="2532"/>
      <c r="H480" s="2557"/>
      <c r="I480" s="2558"/>
      <c r="J480" s="2559"/>
      <c r="K480" s="2559"/>
      <c r="L480" s="2551"/>
      <c r="M480" s="2285"/>
      <c r="N480" s="2560"/>
      <c r="O480" s="2561"/>
      <c r="P480" s="2606"/>
      <c r="Q480" s="2556"/>
      <c r="R480" s="2556"/>
      <c r="S480" s="2556"/>
      <c r="T480" s="2556"/>
      <c r="U480" s="2556"/>
      <c r="V480" s="2556"/>
      <c r="W480" s="2556"/>
      <c r="X480" s="2556"/>
      <c r="Y480" s="2556"/>
      <c r="Z480" s="2042"/>
      <c r="AA480" s="2043"/>
      <c r="AB480" s="2044"/>
      <c r="AC480" s="2045"/>
      <c r="AD480" s="2044"/>
      <c r="AE480" s="2045"/>
      <c r="AF480" s="2555"/>
      <c r="AG480" s="2551"/>
      <c r="AH480" s="2551"/>
      <c r="AI480" s="2555"/>
      <c r="AJ480" s="2551"/>
      <c r="AK480" s="2551"/>
      <c r="AL480" s="1989"/>
      <c r="AM480" s="1826"/>
      <c r="AN480" s="1826"/>
      <c r="AO480" s="1826"/>
      <c r="AP480" s="1826"/>
      <c r="AQ480" s="1826"/>
      <c r="AR480" s="1826"/>
      <c r="AS480" s="1826"/>
      <c r="AT480" s="1826"/>
      <c r="AU480" s="1826"/>
      <c r="AV480" s="1826"/>
      <c r="AW480" s="1826"/>
      <c r="AX480" s="1826"/>
      <c r="AY480" s="1826"/>
      <c r="AZ480" s="1826"/>
      <c r="BA480" s="1826"/>
      <c r="BB480" s="1826"/>
      <c r="BC480" s="1826"/>
      <c r="BD480" s="1826"/>
      <c r="BE480" s="1826"/>
      <c r="BF480" s="1826"/>
      <c r="BG480" s="1639"/>
    </row>
    <row customHeight="1" ht="0.75">
      <c r="A481" s="1170" t="s">
        <v>1253</v>
      </c>
      <c r="B481" s="1170"/>
      <c r="C481" s="1170"/>
      <c r="D481" s="1164"/>
      <c r="E481" s="1174"/>
      <c r="F481" s="2553"/>
      <c r="G481" s="2532"/>
      <c r="H481" s="2557"/>
      <c r="I481" s="2558"/>
      <c r="J481" s="2559"/>
      <c r="K481" s="2559"/>
      <c r="L481" s="2551"/>
      <c r="M481" s="2285"/>
      <c r="N481" s="2560"/>
      <c r="O481" s="2561"/>
      <c r="P481" s="2607"/>
      <c r="Q481" s="2556"/>
      <c r="R481" s="2556"/>
      <c r="S481" s="2556"/>
      <c r="T481" s="2556"/>
      <c r="U481" s="2556"/>
      <c r="V481" s="2556"/>
      <c r="W481" s="2556"/>
      <c r="X481" s="2556"/>
      <c r="Y481" s="2556"/>
      <c r="Z481" s="2038"/>
      <c r="AA481" s="2039"/>
      <c r="AB481" s="2046"/>
      <c r="AC481" s="2040"/>
      <c r="AD481" s="2040"/>
      <c r="AE481" s="2047"/>
      <c r="AF481" s="2555"/>
      <c r="AG481" s="2551"/>
      <c r="AH481" s="2551"/>
      <c r="AI481" s="2555"/>
      <c r="AJ481" s="2551"/>
      <c r="AK481" s="2551"/>
      <c r="AL481" s="1989"/>
      <c r="AM481" s="1826"/>
      <c r="AN481" s="1826"/>
      <c r="AO481" s="1826"/>
      <c r="AP481" s="1826"/>
      <c r="AQ481" s="1826"/>
      <c r="AR481" s="1826"/>
      <c r="AS481" s="1826"/>
      <c r="AT481" s="1826"/>
      <c r="AU481" s="1826"/>
      <c r="AV481" s="1826"/>
      <c r="AW481" s="1826"/>
      <c r="AX481" s="1826"/>
      <c r="AY481" s="1826"/>
      <c r="AZ481" s="1826"/>
      <c r="BA481" s="1826"/>
      <c r="BB481" s="1826"/>
      <c r="BC481" s="1826"/>
      <c r="BD481" s="1826"/>
      <c r="BE481" s="1826"/>
      <c r="BF481" s="1826"/>
      <c r="BG481" s="1639"/>
    </row>
    <row customHeight="1" ht="0.75">
      <c r="A482" s="1170" t="s">
        <v>1253</v>
      </c>
      <c r="B482" s="1170"/>
      <c r="C482" s="1170"/>
      <c r="D482" s="1164"/>
      <c r="E482" s="1174"/>
      <c r="F482" s="2553"/>
      <c r="G482" s="2532"/>
      <c r="H482" s="2557"/>
      <c r="I482" s="2558"/>
      <c r="J482" s="2559"/>
      <c r="K482" s="2559"/>
      <c r="L482" s="2551"/>
      <c r="M482" s="2285"/>
      <c r="N482" s="2039"/>
      <c r="O482" s="2039"/>
      <c r="P482" s="2046"/>
      <c r="Q482" s="2039"/>
      <c r="R482" s="2039"/>
      <c r="S482" s="2039"/>
      <c r="T482" s="2039"/>
      <c r="U482" s="2039"/>
      <c r="V482" s="2039"/>
      <c r="W482" s="2039"/>
      <c r="X482" s="2039"/>
      <c r="Y482" s="2039"/>
      <c r="Z482" s="2039"/>
      <c r="AA482" s="2039"/>
      <c r="AB482" s="2039"/>
      <c r="AC482" s="2039"/>
      <c r="AD482" s="2039"/>
      <c r="AE482" s="2048"/>
      <c r="AF482" s="2555"/>
      <c r="AG482" s="2551"/>
      <c r="AH482" s="2551"/>
      <c r="AI482" s="2555"/>
      <c r="AJ482" s="2551"/>
      <c r="AK482" s="2551"/>
      <c r="AL482" s="1989"/>
      <c r="AM482" s="1826"/>
      <c r="AN482" s="1826"/>
      <c r="AO482" s="1826"/>
      <c r="AP482" s="1826"/>
      <c r="AQ482" s="1826"/>
      <c r="AR482" s="1826"/>
      <c r="AS482" s="1826"/>
      <c r="AT482" s="1826"/>
      <c r="AU482" s="1826"/>
      <c r="AV482" s="1826"/>
      <c r="AW482" s="1826"/>
      <c r="AX482" s="1826"/>
      <c r="AY482" s="1826"/>
      <c r="AZ482" s="1826"/>
      <c r="BA482" s="1826"/>
      <c r="BB482" s="1826"/>
      <c r="BC482" s="1826"/>
      <c r="BD482" s="1826"/>
      <c r="BE482" s="1826"/>
      <c r="BF482" s="1826"/>
      <c r="BG482" s="1639"/>
    </row>
    <row customHeight="1" ht="12">
      <c r="A483" s="1170" t="s">
        <v>1253</v>
      </c>
      <c r="B483" s="1170"/>
      <c r="C483" s="1170"/>
      <c r="D483" s="1164"/>
      <c r="E483" s="1174"/>
      <c r="F483" s="2554"/>
      <c r="G483" s="1194"/>
      <c r="H483" s="1194"/>
      <c r="I483" s="2552" t="s">
        <v>1300</v>
      </c>
      <c r="J483" s="2552"/>
      <c r="K483" s="2552"/>
      <c r="L483" s="1177"/>
      <c r="M483" s="1177"/>
      <c r="N483" s="1178"/>
      <c r="O483" s="1178"/>
      <c r="P483" s="1178"/>
      <c r="Q483" s="1178"/>
      <c r="R483" s="1178"/>
      <c r="S483" s="1178"/>
      <c r="T483" s="1178"/>
      <c r="U483" s="1178"/>
      <c r="V483" s="1178"/>
      <c r="W483" s="1178"/>
      <c r="X483" s="1178"/>
      <c r="Y483" s="1178"/>
      <c r="Z483" s="1178"/>
      <c r="AA483" s="1178"/>
      <c r="AB483" s="1178"/>
      <c r="AC483" s="1178"/>
      <c r="AD483" s="1178"/>
      <c r="AE483" s="1178"/>
      <c r="AF483" s="1178"/>
      <c r="AG483" s="1177"/>
      <c r="AH483" s="1177"/>
      <c r="AI483" s="1178"/>
      <c r="AJ483" s="1177"/>
      <c r="AK483" s="1178"/>
      <c r="AL483" s="1989"/>
      <c r="AM483" s="1826"/>
      <c r="AN483" s="1826"/>
      <c r="AO483" s="1826"/>
      <c r="AP483" s="1826"/>
      <c r="AQ483" s="1826"/>
      <c r="AR483" s="1826"/>
      <c r="AS483" s="1826"/>
      <c r="AT483" s="1826"/>
      <c r="AU483" s="1826"/>
      <c r="AV483" s="1826"/>
      <c r="AW483" s="1826"/>
      <c r="AX483" s="1826"/>
      <c r="AY483" s="1826"/>
      <c r="AZ483" s="1826"/>
      <c r="BA483" s="1826"/>
      <c r="BB483" s="1826"/>
      <c r="BC483" s="1826"/>
      <c r="BD483" s="1826"/>
      <c r="BE483" s="1826"/>
      <c r="BF483" s="1826"/>
      <c r="BG483" s="1639"/>
    </row>
    <row customHeight="1" ht="0.75">
      <c r="A484" s="1170" t="s">
        <v>1253</v>
      </c>
      <c r="B484" s="1170"/>
      <c r="C484" s="1170"/>
      <c r="D484" s="1164"/>
      <c r="E484" s="1174"/>
      <c r="F484" s="2553">
        <v>2027</v>
      </c>
      <c r="G484" s="2532"/>
      <c r="H484" s="2557" t="s">
        <v>514</v>
      </c>
      <c r="I484" s="2558"/>
      <c r="J484" s="2559"/>
      <c r="K484" s="2559"/>
      <c r="L484" s="2551"/>
      <c r="M484" s="2285"/>
      <c r="N484" s="2037"/>
      <c r="O484" s="2036"/>
      <c r="P484" s="2037"/>
      <c r="Q484" s="2037"/>
      <c r="R484" s="2037"/>
      <c r="S484" s="2037"/>
      <c r="T484" s="2037"/>
      <c r="U484" s="2037"/>
      <c r="V484" s="2037"/>
      <c r="W484" s="2037"/>
      <c r="X484" s="2037"/>
      <c r="Y484" s="2037"/>
      <c r="Z484" s="2037"/>
      <c r="AA484" s="2037"/>
      <c r="AB484" s="2037"/>
      <c r="AC484" s="2037"/>
      <c r="AD484" s="2037"/>
      <c r="AE484" s="2037"/>
      <c r="AF484" s="2555"/>
      <c r="AG484" s="2551"/>
      <c r="AH484" s="2551"/>
      <c r="AI484" s="2555"/>
      <c r="AJ484" s="2551"/>
      <c r="AK484" s="2551"/>
      <c r="AL484" s="1989"/>
      <c r="AM484" s="1826"/>
      <c r="AN484" s="1826"/>
      <c r="AO484" s="1826"/>
      <c r="AP484" s="1826"/>
      <c r="AQ484" s="1826"/>
      <c r="AR484" s="1826"/>
      <c r="AS484" s="1826"/>
      <c r="AT484" s="1826"/>
      <c r="AU484" s="1826"/>
      <c r="AV484" s="1826"/>
      <c r="AW484" s="1826"/>
      <c r="AX484" s="1826"/>
      <c r="AY484" s="1826"/>
      <c r="AZ484" s="1826"/>
      <c r="BA484" s="1826"/>
      <c r="BB484" s="1826"/>
      <c r="BC484" s="1826"/>
      <c r="BD484" s="1826"/>
      <c r="BE484" s="1826"/>
      <c r="BF484" s="1826"/>
      <c r="BG484" s="1639"/>
    </row>
    <row customHeight="1" ht="0.75">
      <c r="A485" s="1170" t="s">
        <v>1253</v>
      </c>
      <c r="B485" s="1170"/>
      <c r="C485" s="1170"/>
      <c r="D485" s="1164"/>
      <c r="E485" s="1174"/>
      <c r="F485" s="2553"/>
      <c r="G485" s="2532"/>
      <c r="H485" s="2557"/>
      <c r="I485" s="2558"/>
      <c r="J485" s="2559"/>
      <c r="K485" s="2559"/>
      <c r="L485" s="2551"/>
      <c r="M485" s="2285"/>
      <c r="N485" s="2560"/>
      <c r="O485" s="2561"/>
      <c r="P485" s="2605"/>
      <c r="Q485" s="2556"/>
      <c r="R485" s="2556"/>
      <c r="S485" s="2556"/>
      <c r="T485" s="2556"/>
      <c r="U485" s="2556"/>
      <c r="V485" s="2556"/>
      <c r="W485" s="2556"/>
      <c r="X485" s="2556"/>
      <c r="Y485" s="2556"/>
      <c r="Z485" s="2038"/>
      <c r="AA485" s="2039"/>
      <c r="AB485" s="2039"/>
      <c r="AC485" s="2040"/>
      <c r="AD485" s="2040"/>
      <c r="AE485" s="2041"/>
      <c r="AF485" s="2555"/>
      <c r="AG485" s="2551"/>
      <c r="AH485" s="2551"/>
      <c r="AI485" s="2555"/>
      <c r="AJ485" s="2551"/>
      <c r="AK485" s="2551"/>
      <c r="AL485" s="1989"/>
      <c r="AM485" s="1826"/>
      <c r="AN485" s="1826"/>
      <c r="AO485" s="1826"/>
      <c r="AP485" s="1826"/>
      <c r="AQ485" s="1826"/>
      <c r="AR485" s="1826"/>
      <c r="AS485" s="1826"/>
      <c r="AT485" s="1826"/>
      <c r="AU485" s="1826"/>
      <c r="AV485" s="1826"/>
      <c r="AW485" s="1826"/>
      <c r="AX485" s="1826"/>
      <c r="AY485" s="1826"/>
      <c r="AZ485" s="1826"/>
      <c r="BA485" s="1826"/>
      <c r="BB485" s="1826"/>
      <c r="BC485" s="1826"/>
      <c r="BD485" s="1826"/>
      <c r="BE485" s="1826"/>
      <c r="BF485" s="1826"/>
      <c r="BG485" s="1639"/>
    </row>
    <row customHeight="1" ht="0.75">
      <c r="A486" s="1170" t="s">
        <v>1253</v>
      </c>
      <c r="B486" s="1170"/>
      <c r="C486" s="1170"/>
      <c r="D486" s="1164"/>
      <c r="E486" s="1174"/>
      <c r="F486" s="2553"/>
      <c r="G486" s="2532"/>
      <c r="H486" s="2557"/>
      <c r="I486" s="2558"/>
      <c r="J486" s="2559"/>
      <c r="K486" s="2559"/>
      <c r="L486" s="2551"/>
      <c r="M486" s="2285"/>
      <c r="N486" s="2560"/>
      <c r="O486" s="2561"/>
      <c r="P486" s="2606"/>
      <c r="Q486" s="2556"/>
      <c r="R486" s="2556"/>
      <c r="S486" s="2556"/>
      <c r="T486" s="2556"/>
      <c r="U486" s="2556"/>
      <c r="V486" s="2556"/>
      <c r="W486" s="2556"/>
      <c r="X486" s="2556"/>
      <c r="Y486" s="2556"/>
      <c r="Z486" s="2042"/>
      <c r="AA486" s="2043"/>
      <c r="AB486" s="2044"/>
      <c r="AC486" s="2045"/>
      <c r="AD486" s="2044"/>
      <c r="AE486" s="2045"/>
      <c r="AF486" s="2555"/>
      <c r="AG486" s="2551"/>
      <c r="AH486" s="2551"/>
      <c r="AI486" s="2555"/>
      <c r="AJ486" s="2551"/>
      <c r="AK486" s="2551"/>
      <c r="AL486" s="1989"/>
      <c r="AM486" s="1826"/>
      <c r="AN486" s="1826"/>
      <c r="AO486" s="1826"/>
      <c r="AP486" s="1826"/>
      <c r="AQ486" s="1826"/>
      <c r="AR486" s="1826"/>
      <c r="AS486" s="1826"/>
      <c r="AT486" s="1826"/>
      <c r="AU486" s="1826"/>
      <c r="AV486" s="1826"/>
      <c r="AW486" s="1826"/>
      <c r="AX486" s="1826"/>
      <c r="AY486" s="1826"/>
      <c r="AZ486" s="1826"/>
      <c r="BA486" s="1826"/>
      <c r="BB486" s="1826"/>
      <c r="BC486" s="1826"/>
      <c r="BD486" s="1826"/>
      <c r="BE486" s="1826"/>
      <c r="BF486" s="1826"/>
      <c r="BG486" s="1639"/>
    </row>
    <row customHeight="1" ht="0.75">
      <c r="A487" s="1170" t="s">
        <v>1253</v>
      </c>
      <c r="B487" s="1170"/>
      <c r="C487" s="1170"/>
      <c r="D487" s="1164"/>
      <c r="E487" s="1174"/>
      <c r="F487" s="2553"/>
      <c r="G487" s="2532"/>
      <c r="H487" s="2557"/>
      <c r="I487" s="2558"/>
      <c r="J487" s="2559"/>
      <c r="K487" s="2559"/>
      <c r="L487" s="2551"/>
      <c r="M487" s="2285"/>
      <c r="N487" s="2560"/>
      <c r="O487" s="2561"/>
      <c r="P487" s="2607"/>
      <c r="Q487" s="2556"/>
      <c r="R487" s="2556"/>
      <c r="S487" s="2556"/>
      <c r="T487" s="2556"/>
      <c r="U487" s="2556"/>
      <c r="V487" s="2556"/>
      <c r="W487" s="2556"/>
      <c r="X487" s="2556"/>
      <c r="Y487" s="2556"/>
      <c r="Z487" s="2038"/>
      <c r="AA487" s="2039"/>
      <c r="AB487" s="2046"/>
      <c r="AC487" s="2040"/>
      <c r="AD487" s="2040"/>
      <c r="AE487" s="2047"/>
      <c r="AF487" s="2555"/>
      <c r="AG487" s="2551"/>
      <c r="AH487" s="2551"/>
      <c r="AI487" s="2555"/>
      <c r="AJ487" s="2551"/>
      <c r="AK487" s="2551"/>
      <c r="AL487" s="1989"/>
      <c r="AM487" s="1826"/>
      <c r="AN487" s="1826"/>
      <c r="AO487" s="1826"/>
      <c r="AP487" s="1826"/>
      <c r="AQ487" s="1826"/>
      <c r="AR487" s="1826"/>
      <c r="AS487" s="1826"/>
      <c r="AT487" s="1826"/>
      <c r="AU487" s="1826"/>
      <c r="AV487" s="1826"/>
      <c r="AW487" s="1826"/>
      <c r="AX487" s="1826"/>
      <c r="AY487" s="1826"/>
      <c r="AZ487" s="1826"/>
      <c r="BA487" s="1826"/>
      <c r="BB487" s="1826"/>
      <c r="BC487" s="1826"/>
      <c r="BD487" s="1826"/>
      <c r="BE487" s="1826"/>
      <c r="BF487" s="1826"/>
      <c r="BG487" s="1639"/>
    </row>
    <row customHeight="1" ht="0.75">
      <c r="A488" s="1170" t="s">
        <v>1253</v>
      </c>
      <c r="B488" s="1170"/>
      <c r="C488" s="1170"/>
      <c r="D488" s="1164"/>
      <c r="E488" s="1174"/>
      <c r="F488" s="2553"/>
      <c r="G488" s="2532"/>
      <c r="H488" s="2557"/>
      <c r="I488" s="2558"/>
      <c r="J488" s="2559"/>
      <c r="K488" s="2559"/>
      <c r="L488" s="2551"/>
      <c r="M488" s="2285"/>
      <c r="N488" s="2039"/>
      <c r="O488" s="2039"/>
      <c r="P488" s="2046"/>
      <c r="Q488" s="2039"/>
      <c r="R488" s="2039"/>
      <c r="S488" s="2039"/>
      <c r="T488" s="2039"/>
      <c r="U488" s="2039"/>
      <c r="V488" s="2039"/>
      <c r="W488" s="2039"/>
      <c r="X488" s="2039"/>
      <c r="Y488" s="2039"/>
      <c r="Z488" s="2039"/>
      <c r="AA488" s="2039"/>
      <c r="AB488" s="2039"/>
      <c r="AC488" s="2039"/>
      <c r="AD488" s="2039"/>
      <c r="AE488" s="2048"/>
      <c r="AF488" s="2555"/>
      <c r="AG488" s="2551"/>
      <c r="AH488" s="2551"/>
      <c r="AI488" s="2555"/>
      <c r="AJ488" s="2551"/>
      <c r="AK488" s="2551"/>
      <c r="AL488" s="1989"/>
      <c r="AM488" s="1826"/>
      <c r="AN488" s="1826"/>
      <c r="AO488" s="1826"/>
      <c r="AP488" s="1826"/>
      <c r="AQ488" s="1826"/>
      <c r="AR488" s="1826"/>
      <c r="AS488" s="1826"/>
      <c r="AT488" s="1826"/>
      <c r="AU488" s="1826"/>
      <c r="AV488" s="1826"/>
      <c r="AW488" s="1826"/>
      <c r="AX488" s="1826"/>
      <c r="AY488" s="1826"/>
      <c r="AZ488" s="1826"/>
      <c r="BA488" s="1826"/>
      <c r="BB488" s="1826"/>
      <c r="BC488" s="1826"/>
      <c r="BD488" s="1826"/>
      <c r="BE488" s="1826"/>
      <c r="BF488" s="1826"/>
      <c r="BG488" s="1639"/>
    </row>
    <row customHeight="1" ht="12">
      <c r="A489" s="1170" t="s">
        <v>1253</v>
      </c>
      <c r="B489" s="1170"/>
      <c r="C489" s="1170"/>
      <c r="D489" s="1164"/>
      <c r="E489" s="1174"/>
      <c r="F489" s="2554"/>
      <c r="G489" s="1194"/>
      <c r="H489" s="1194"/>
      <c r="I489" s="2552" t="s">
        <v>1300</v>
      </c>
      <c r="J489" s="2552"/>
      <c r="K489" s="2552"/>
      <c r="L489" s="1177"/>
      <c r="M489" s="1177"/>
      <c r="N489" s="1178"/>
      <c r="O489" s="1178"/>
      <c r="P489" s="1178"/>
      <c r="Q489" s="1178"/>
      <c r="R489" s="1178"/>
      <c r="S489" s="1178"/>
      <c r="T489" s="1178"/>
      <c r="U489" s="1178"/>
      <c r="V489" s="1178"/>
      <c r="W489" s="1178"/>
      <c r="X489" s="1178"/>
      <c r="Y489" s="1178"/>
      <c r="Z489" s="1178"/>
      <c r="AA489" s="1178"/>
      <c r="AB489" s="1178"/>
      <c r="AC489" s="1178"/>
      <c r="AD489" s="1178"/>
      <c r="AE489" s="1178"/>
      <c r="AF489" s="1178"/>
      <c r="AG489" s="1177"/>
      <c r="AH489" s="1177"/>
      <c r="AI489" s="1178"/>
      <c r="AJ489" s="1177"/>
      <c r="AK489" s="1178"/>
      <c r="AL489" s="1989"/>
      <c r="AM489" s="1826"/>
      <c r="AN489" s="1826"/>
      <c r="AO489" s="1826"/>
      <c r="AP489" s="1826"/>
      <c r="AQ489" s="1826"/>
      <c r="AR489" s="1826"/>
      <c r="AS489" s="1826"/>
      <c r="AT489" s="1826"/>
      <c r="AU489" s="1826"/>
      <c r="AV489" s="1826"/>
      <c r="AW489" s="1826"/>
      <c r="AX489" s="1826"/>
      <c r="AY489" s="1826"/>
      <c r="AZ489" s="1826"/>
      <c r="BA489" s="1826"/>
      <c r="BB489" s="1826"/>
      <c r="BC489" s="1826"/>
      <c r="BD489" s="1826"/>
      <c r="BE489" s="1826"/>
      <c r="BF489" s="1826"/>
      <c r="BG489" s="1639"/>
    </row>
    <row customHeight="1" ht="0.75">
      <c r="A490" s="1170" t="s">
        <v>1253</v>
      </c>
      <c r="B490" s="1170"/>
      <c r="C490" s="1170"/>
      <c r="D490" s="1164"/>
      <c r="E490" s="1174"/>
      <c r="F490" s="2553">
        <v>2028</v>
      </c>
      <c r="G490" s="2532"/>
      <c r="H490" s="2557" t="s">
        <v>514</v>
      </c>
      <c r="I490" s="2558"/>
      <c r="J490" s="2559"/>
      <c r="K490" s="2559"/>
      <c r="L490" s="2551"/>
      <c r="M490" s="2285"/>
      <c r="N490" s="2037"/>
      <c r="O490" s="2036"/>
      <c r="P490" s="2037"/>
      <c r="Q490" s="2037"/>
      <c r="R490" s="2037"/>
      <c r="S490" s="2037"/>
      <c r="T490" s="2037"/>
      <c r="U490" s="2037"/>
      <c r="V490" s="2037"/>
      <c r="W490" s="2037"/>
      <c r="X490" s="2037"/>
      <c r="Y490" s="2037"/>
      <c r="Z490" s="2037"/>
      <c r="AA490" s="2037"/>
      <c r="AB490" s="2037"/>
      <c r="AC490" s="2037"/>
      <c r="AD490" s="2037"/>
      <c r="AE490" s="2037"/>
      <c r="AF490" s="2555"/>
      <c r="AG490" s="2551"/>
      <c r="AH490" s="2551"/>
      <c r="AI490" s="2555"/>
      <c r="AJ490" s="2551"/>
      <c r="AK490" s="2551"/>
      <c r="AL490" s="1989"/>
      <c r="AM490" s="1826"/>
      <c r="AN490" s="1826"/>
      <c r="AO490" s="1826"/>
      <c r="AP490" s="1826"/>
      <c r="AQ490" s="1826"/>
      <c r="AR490" s="1826"/>
      <c r="AS490" s="1826"/>
      <c r="AT490" s="1826"/>
      <c r="AU490" s="1826"/>
      <c r="AV490" s="1826"/>
      <c r="AW490" s="1826"/>
      <c r="AX490" s="1826"/>
      <c r="AY490" s="1826"/>
      <c r="AZ490" s="1826"/>
      <c r="BA490" s="1826"/>
      <c r="BB490" s="1826"/>
      <c r="BC490" s="1826"/>
      <c r="BD490" s="1826"/>
      <c r="BE490" s="1826"/>
      <c r="BF490" s="1826"/>
      <c r="BG490" s="1639"/>
    </row>
    <row customHeight="1" ht="0.75">
      <c r="A491" s="1170" t="s">
        <v>1253</v>
      </c>
      <c r="B491" s="1170"/>
      <c r="C491" s="1170"/>
      <c r="D491" s="1164"/>
      <c r="E491" s="1174"/>
      <c r="F491" s="2553"/>
      <c r="G491" s="2532"/>
      <c r="H491" s="2557"/>
      <c r="I491" s="2558"/>
      <c r="J491" s="2559"/>
      <c r="K491" s="2559"/>
      <c r="L491" s="2551"/>
      <c r="M491" s="2285"/>
      <c r="N491" s="2560"/>
      <c r="O491" s="2561"/>
      <c r="P491" s="2605"/>
      <c r="Q491" s="2556"/>
      <c r="R491" s="2556"/>
      <c r="S491" s="2556"/>
      <c r="T491" s="2556"/>
      <c r="U491" s="2556"/>
      <c r="V491" s="2556"/>
      <c r="W491" s="2556"/>
      <c r="X491" s="2556"/>
      <c r="Y491" s="2556"/>
      <c r="Z491" s="2038"/>
      <c r="AA491" s="2039"/>
      <c r="AB491" s="2039"/>
      <c r="AC491" s="2040"/>
      <c r="AD491" s="2040"/>
      <c r="AE491" s="2041"/>
      <c r="AF491" s="2555"/>
      <c r="AG491" s="2551"/>
      <c r="AH491" s="2551"/>
      <c r="AI491" s="2555"/>
      <c r="AJ491" s="2551"/>
      <c r="AK491" s="2551"/>
      <c r="AL491" s="1989"/>
      <c r="AM491" s="1826"/>
      <c r="AN491" s="1826"/>
      <c r="AO491" s="1826"/>
      <c r="AP491" s="1826"/>
      <c r="AQ491" s="1826"/>
      <c r="AR491" s="1826"/>
      <c r="AS491" s="1826"/>
      <c r="AT491" s="1826"/>
      <c r="AU491" s="1826"/>
      <c r="AV491" s="1826"/>
      <c r="AW491" s="1826"/>
      <c r="AX491" s="1826"/>
      <c r="AY491" s="1826"/>
      <c r="AZ491" s="1826"/>
      <c r="BA491" s="1826"/>
      <c r="BB491" s="1826"/>
      <c r="BC491" s="1826"/>
      <c r="BD491" s="1826"/>
      <c r="BE491" s="1826"/>
      <c r="BF491" s="1826"/>
      <c r="BG491" s="1639"/>
    </row>
    <row customHeight="1" ht="0.75">
      <c r="A492" s="1170" t="s">
        <v>1253</v>
      </c>
      <c r="B492" s="1170"/>
      <c r="C492" s="1170"/>
      <c r="D492" s="1164"/>
      <c r="E492" s="1174"/>
      <c r="F492" s="2553"/>
      <c r="G492" s="2532"/>
      <c r="H492" s="2557"/>
      <c r="I492" s="2558"/>
      <c r="J492" s="2559"/>
      <c r="K492" s="2559"/>
      <c r="L492" s="2551"/>
      <c r="M492" s="2285"/>
      <c r="N492" s="2560"/>
      <c r="O492" s="2561"/>
      <c r="P492" s="2606"/>
      <c r="Q492" s="2556"/>
      <c r="R492" s="2556"/>
      <c r="S492" s="2556"/>
      <c r="T492" s="2556"/>
      <c r="U492" s="2556"/>
      <c r="V492" s="2556"/>
      <c r="W492" s="2556"/>
      <c r="X492" s="2556"/>
      <c r="Y492" s="2556"/>
      <c r="Z492" s="2042"/>
      <c r="AA492" s="2043"/>
      <c r="AB492" s="2044"/>
      <c r="AC492" s="2045"/>
      <c r="AD492" s="2044"/>
      <c r="AE492" s="2045"/>
      <c r="AF492" s="2555"/>
      <c r="AG492" s="2551"/>
      <c r="AH492" s="2551"/>
      <c r="AI492" s="2555"/>
      <c r="AJ492" s="2551"/>
      <c r="AK492" s="2551"/>
      <c r="AL492" s="1989"/>
      <c r="AM492" s="1826"/>
      <c r="AN492" s="1826"/>
      <c r="AO492" s="1826"/>
      <c r="AP492" s="1826"/>
      <c r="AQ492" s="1826"/>
      <c r="AR492" s="1826"/>
      <c r="AS492" s="1826"/>
      <c r="AT492" s="1826"/>
      <c r="AU492" s="1826"/>
      <c r="AV492" s="1826"/>
      <c r="AW492" s="1826"/>
      <c r="AX492" s="1826"/>
      <c r="AY492" s="1826"/>
      <c r="AZ492" s="1826"/>
      <c r="BA492" s="1826"/>
      <c r="BB492" s="1826"/>
      <c r="BC492" s="1826"/>
      <c r="BD492" s="1826"/>
      <c r="BE492" s="1826"/>
      <c r="BF492" s="1826"/>
      <c r="BG492" s="1639"/>
    </row>
    <row customHeight="1" ht="0.75">
      <c r="A493" s="1170" t="s">
        <v>1253</v>
      </c>
      <c r="B493" s="1170"/>
      <c r="C493" s="1170"/>
      <c r="D493" s="1164"/>
      <c r="E493" s="1174"/>
      <c r="F493" s="2553"/>
      <c r="G493" s="2532"/>
      <c r="H493" s="2557"/>
      <c r="I493" s="2558"/>
      <c r="J493" s="2559"/>
      <c r="K493" s="2559"/>
      <c r="L493" s="2551"/>
      <c r="M493" s="2285"/>
      <c r="N493" s="2560"/>
      <c r="O493" s="2561"/>
      <c r="P493" s="2607"/>
      <c r="Q493" s="2556"/>
      <c r="R493" s="2556"/>
      <c r="S493" s="2556"/>
      <c r="T493" s="2556"/>
      <c r="U493" s="2556"/>
      <c r="V493" s="2556"/>
      <c r="W493" s="2556"/>
      <c r="X493" s="2556"/>
      <c r="Y493" s="2556"/>
      <c r="Z493" s="2038"/>
      <c r="AA493" s="2039"/>
      <c r="AB493" s="2046"/>
      <c r="AC493" s="2040"/>
      <c r="AD493" s="2040"/>
      <c r="AE493" s="2047"/>
      <c r="AF493" s="2555"/>
      <c r="AG493" s="2551"/>
      <c r="AH493" s="2551"/>
      <c r="AI493" s="2555"/>
      <c r="AJ493" s="2551"/>
      <c r="AK493" s="2551"/>
      <c r="AL493" s="1989"/>
      <c r="AM493" s="1826"/>
      <c r="AN493" s="1826"/>
      <c r="AO493" s="1826"/>
      <c r="AP493" s="1826"/>
      <c r="AQ493" s="1826"/>
      <c r="AR493" s="1826"/>
      <c r="AS493" s="1826"/>
      <c r="AT493" s="1826"/>
      <c r="AU493" s="1826"/>
      <c r="AV493" s="1826"/>
      <c r="AW493" s="1826"/>
      <c r="AX493" s="1826"/>
      <c r="AY493" s="1826"/>
      <c r="AZ493" s="1826"/>
      <c r="BA493" s="1826"/>
      <c r="BB493" s="1826"/>
      <c r="BC493" s="1826"/>
      <c r="BD493" s="1826"/>
      <c r="BE493" s="1826"/>
      <c r="BF493" s="1826"/>
      <c r="BG493" s="1639"/>
    </row>
    <row customHeight="1" ht="0.75">
      <c r="A494" s="1170" t="s">
        <v>1253</v>
      </c>
      <c r="B494" s="1170"/>
      <c r="C494" s="1170"/>
      <c r="D494" s="1164"/>
      <c r="E494" s="1174"/>
      <c r="F494" s="2553"/>
      <c r="G494" s="2532"/>
      <c r="H494" s="2557"/>
      <c r="I494" s="2558"/>
      <c r="J494" s="2559"/>
      <c r="K494" s="2559"/>
      <c r="L494" s="2551"/>
      <c r="M494" s="2285"/>
      <c r="N494" s="2039"/>
      <c r="O494" s="2039"/>
      <c r="P494" s="2046"/>
      <c r="Q494" s="2039"/>
      <c r="R494" s="2039"/>
      <c r="S494" s="2039"/>
      <c r="T494" s="2039"/>
      <c r="U494" s="2039"/>
      <c r="V494" s="2039"/>
      <c r="W494" s="2039"/>
      <c r="X494" s="2039"/>
      <c r="Y494" s="2039"/>
      <c r="Z494" s="2039"/>
      <c r="AA494" s="2039"/>
      <c r="AB494" s="2039"/>
      <c r="AC494" s="2039"/>
      <c r="AD494" s="2039"/>
      <c r="AE494" s="2048"/>
      <c r="AF494" s="2555"/>
      <c r="AG494" s="2551"/>
      <c r="AH494" s="2551"/>
      <c r="AI494" s="2555"/>
      <c r="AJ494" s="2551"/>
      <c r="AK494" s="2551"/>
      <c r="AL494" s="1989"/>
      <c r="AM494" s="1826"/>
      <c r="AN494" s="1826"/>
      <c r="AO494" s="1826"/>
      <c r="AP494" s="1826"/>
      <c r="AQ494" s="1826"/>
      <c r="AR494" s="1826"/>
      <c r="AS494" s="1826"/>
      <c r="AT494" s="1826"/>
      <c r="AU494" s="1826"/>
      <c r="AV494" s="1826"/>
      <c r="AW494" s="1826"/>
      <c r="AX494" s="1826"/>
      <c r="AY494" s="1826"/>
      <c r="AZ494" s="1826"/>
      <c r="BA494" s="1826"/>
      <c r="BB494" s="1826"/>
      <c r="BC494" s="1826"/>
      <c r="BD494" s="1826"/>
      <c r="BE494" s="1826"/>
      <c r="BF494" s="1826"/>
      <c r="BG494" s="1639"/>
    </row>
    <row customHeight="1" ht="12">
      <c r="A495" s="1170" t="s">
        <v>1253</v>
      </c>
      <c r="B495" s="1170"/>
      <c r="C495" s="1170"/>
      <c r="D495" s="1164"/>
      <c r="E495" s="1174"/>
      <c r="F495" s="2554"/>
      <c r="G495" s="1194"/>
      <c r="H495" s="1194"/>
      <c r="I495" s="2552" t="s">
        <v>1300</v>
      </c>
      <c r="J495" s="2552"/>
      <c r="K495" s="2552"/>
      <c r="L495" s="1177"/>
      <c r="M495" s="1177"/>
      <c r="N495" s="1178"/>
      <c r="O495" s="1178"/>
      <c r="P495" s="1178"/>
      <c r="Q495" s="1178"/>
      <c r="R495" s="1178"/>
      <c r="S495" s="1178"/>
      <c r="T495" s="1178"/>
      <c r="U495" s="1178"/>
      <c r="V495" s="1178"/>
      <c r="W495" s="1178"/>
      <c r="X495" s="1178"/>
      <c r="Y495" s="1178"/>
      <c r="Z495" s="1178"/>
      <c r="AA495" s="1178"/>
      <c r="AB495" s="1178"/>
      <c r="AC495" s="1178"/>
      <c r="AD495" s="1178"/>
      <c r="AE495" s="1178"/>
      <c r="AF495" s="1178"/>
      <c r="AG495" s="1177"/>
      <c r="AH495" s="1177"/>
      <c r="AI495" s="1178"/>
      <c r="AJ495" s="1177"/>
      <c r="AK495" s="1178"/>
      <c r="AL495" s="1989"/>
      <c r="AM495" s="1826"/>
      <c r="AN495" s="1826"/>
      <c r="AO495" s="1826"/>
      <c r="AP495" s="1826"/>
      <c r="AQ495" s="1826"/>
      <c r="AR495" s="1826"/>
      <c r="AS495" s="1826"/>
      <c r="AT495" s="1826"/>
      <c r="AU495" s="1826"/>
      <c r="AV495" s="1826"/>
      <c r="AW495" s="1826"/>
      <c r="AX495" s="1826"/>
      <c r="AY495" s="1826"/>
      <c r="AZ495" s="1826"/>
      <c r="BA495" s="1826"/>
      <c r="BB495" s="1826"/>
      <c r="BC495" s="1826"/>
      <c r="BD495" s="1826"/>
      <c r="BE495" s="1826"/>
      <c r="BF495" s="1826"/>
      <c r="BG495" s="1639"/>
    </row>
    <row customHeight="1" ht="21">
      <c r="A496" s="1171" t="s">
        <v>1260</v>
      </c>
      <c r="B496" s="1170"/>
      <c r="C496" s="1170"/>
      <c r="D496" s="1164"/>
      <c r="E496" s="1174" t="s">
        <v>22</v>
      </c>
      <c r="F496" s="1126" t="str">
        <f>INDEX(IP_MAIN_LIST_NAME_IP,MATCH(A496,IP_MAIN_LIST_IP_ID,0))&amp;" ("&amp;INDEX(IP_MAIN_START_DATE,MATCH(A496,IP_MAIN_LIST_IP_ID,0))&amp;"-"&amp;INDEX(IP_MAIN_END_DATE,MATCH(A496,IP_MAIN_LIST_IP_ID,0))&amp;")"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96" s="1127"/>
      <c r="H496" s="1127"/>
      <c r="I496" s="1189"/>
      <c r="J496" s="1189"/>
      <c r="K496" s="1190"/>
      <c r="L496" s="1190"/>
      <c r="M496" s="1190"/>
      <c r="N496" s="1191"/>
      <c r="O496" s="1191"/>
      <c r="P496" s="1191"/>
      <c r="Q496" s="1191"/>
      <c r="R496" s="1191"/>
      <c r="S496" s="1191"/>
      <c r="T496" s="1191"/>
      <c r="U496" s="1191"/>
      <c r="V496" s="1191"/>
      <c r="W496" s="1191"/>
      <c r="X496" s="1191"/>
      <c r="Y496" s="1191"/>
      <c r="Z496" s="1191"/>
      <c r="AA496" s="1191"/>
      <c r="AB496" s="1191"/>
      <c r="AC496" s="1191"/>
      <c r="AD496" s="1191"/>
      <c r="AE496" s="1192"/>
      <c r="AF496" s="1190"/>
      <c r="AG496" s="1190"/>
      <c r="AH496" s="1190"/>
      <c r="AI496" s="1190"/>
      <c r="AJ496" s="1190"/>
      <c r="AK496" s="1190"/>
      <c r="AL496" s="1989"/>
      <c r="AM496" s="1826"/>
      <c r="AN496" s="1826"/>
      <c r="AO496" s="1826"/>
      <c r="AP496" s="1826"/>
      <c r="AQ496" s="1826"/>
      <c r="AR496" s="1826"/>
      <c r="AS496" s="1826"/>
      <c r="AT496" s="1826"/>
      <c r="AU496" s="1826"/>
      <c r="AV496" s="1826"/>
      <c r="AW496" s="1826"/>
      <c r="AX496" s="1826"/>
      <c r="AY496" s="1826"/>
      <c r="AZ496" s="1826"/>
      <c r="BA496" s="1826"/>
      <c r="BB496" s="1826"/>
      <c r="BC496" s="1826"/>
      <c r="BD496" s="1826"/>
      <c r="BE496" s="1826"/>
      <c r="BF496" s="1826"/>
      <c r="BG496" s="1639"/>
    </row>
    <row customHeight="1" ht="0.75">
      <c r="A497" s="1170" t="s">
        <v>1260</v>
      </c>
      <c r="B497" s="1170"/>
      <c r="C497" s="1170"/>
      <c r="D497" s="1164"/>
      <c r="E497" s="1174"/>
      <c r="F497" s="2553">
        <v>2024</v>
      </c>
      <c r="G497" s="2532"/>
      <c r="H497" s="2557" t="s">
        <v>514</v>
      </c>
      <c r="I497" s="2558"/>
      <c r="J497" s="2559"/>
      <c r="K497" s="2559"/>
      <c r="L497" s="2551"/>
      <c r="M497" s="2285"/>
      <c r="N497" s="2037"/>
      <c r="O497" s="2036"/>
      <c r="P497" s="2037"/>
      <c r="Q497" s="2037"/>
      <c r="R497" s="2037"/>
      <c r="S497" s="2037"/>
      <c r="T497" s="2037"/>
      <c r="U497" s="2037"/>
      <c r="V497" s="2037"/>
      <c r="W497" s="2037"/>
      <c r="X497" s="2037"/>
      <c r="Y497" s="2037"/>
      <c r="Z497" s="2037"/>
      <c r="AA497" s="2037"/>
      <c r="AB497" s="2037"/>
      <c r="AC497" s="2037"/>
      <c r="AD497" s="2037"/>
      <c r="AE497" s="2037"/>
      <c r="AF497" s="2555"/>
      <c r="AG497" s="2551"/>
      <c r="AH497" s="2551"/>
      <c r="AI497" s="2555"/>
      <c r="AJ497" s="2551"/>
      <c r="AK497" s="2551"/>
      <c r="AL497" s="1989"/>
      <c r="AM497" s="1826"/>
      <c r="AN497" s="1826"/>
      <c r="AO497" s="1826"/>
      <c r="AP497" s="1826"/>
      <c r="AQ497" s="1826"/>
      <c r="AR497" s="1826"/>
      <c r="AS497" s="1826"/>
      <c r="AT497" s="1826"/>
      <c r="AU497" s="1826"/>
      <c r="AV497" s="1826"/>
      <c r="AW497" s="1826"/>
      <c r="AX497" s="1826"/>
      <c r="AY497" s="1826"/>
      <c r="AZ497" s="1826"/>
      <c r="BA497" s="1826"/>
      <c r="BB497" s="1826"/>
      <c r="BC497" s="1826"/>
      <c r="BD497" s="1826"/>
      <c r="BE497" s="1826"/>
      <c r="BF497" s="1826"/>
      <c r="BG497" s="1639"/>
    </row>
    <row customHeight="1" ht="0.75">
      <c r="A498" s="1170" t="s">
        <v>1260</v>
      </c>
      <c r="B498" s="1170"/>
      <c r="C498" s="1170"/>
      <c r="D498" s="1164"/>
      <c r="E498" s="1174"/>
      <c r="F498" s="2553"/>
      <c r="G498" s="2532"/>
      <c r="H498" s="2557"/>
      <c r="I498" s="2558"/>
      <c r="J498" s="2559"/>
      <c r="K498" s="2559"/>
      <c r="L498" s="2551"/>
      <c r="M498" s="2285"/>
      <c r="N498" s="2560"/>
      <c r="O498" s="2561"/>
      <c r="P498" s="2605"/>
      <c r="Q498" s="2556"/>
      <c r="R498" s="2556"/>
      <c r="S498" s="2556"/>
      <c r="T498" s="2556"/>
      <c r="U498" s="2556"/>
      <c r="V498" s="2556"/>
      <c r="W498" s="2556"/>
      <c r="X498" s="2556"/>
      <c r="Y498" s="2556"/>
      <c r="Z498" s="2038"/>
      <c r="AA498" s="2039"/>
      <c r="AB498" s="2039"/>
      <c r="AC498" s="2040"/>
      <c r="AD498" s="2040"/>
      <c r="AE498" s="2041"/>
      <c r="AF498" s="2555"/>
      <c r="AG498" s="2551"/>
      <c r="AH498" s="2551"/>
      <c r="AI498" s="2555"/>
      <c r="AJ498" s="2551"/>
      <c r="AK498" s="2551"/>
      <c r="AL498" s="1989"/>
      <c r="AM498" s="1826"/>
      <c r="AN498" s="1826"/>
      <c r="AO498" s="1826"/>
      <c r="AP498" s="1826"/>
      <c r="AQ498" s="1826"/>
      <c r="AR498" s="1826"/>
      <c r="AS498" s="1826"/>
      <c r="AT498" s="1826"/>
      <c r="AU498" s="1826"/>
      <c r="AV498" s="1826"/>
      <c r="AW498" s="1826"/>
      <c r="AX498" s="1826"/>
      <c r="AY498" s="1826"/>
      <c r="AZ498" s="1826"/>
      <c r="BA498" s="1826"/>
      <c r="BB498" s="1826"/>
      <c r="BC498" s="1826"/>
      <c r="BD498" s="1826"/>
      <c r="BE498" s="1826"/>
      <c r="BF498" s="1826"/>
      <c r="BG498" s="1639"/>
    </row>
    <row customHeight="1" ht="0.75">
      <c r="A499" s="1170" t="s">
        <v>1260</v>
      </c>
      <c r="B499" s="1170"/>
      <c r="C499" s="1170"/>
      <c r="D499" s="1164"/>
      <c r="E499" s="1174"/>
      <c r="F499" s="2553"/>
      <c r="G499" s="2532"/>
      <c r="H499" s="2557"/>
      <c r="I499" s="2558"/>
      <c r="J499" s="2559"/>
      <c r="K499" s="2559"/>
      <c r="L499" s="2551"/>
      <c r="M499" s="2285"/>
      <c r="N499" s="2560"/>
      <c r="O499" s="2561"/>
      <c r="P499" s="2606"/>
      <c r="Q499" s="2556"/>
      <c r="R499" s="2556"/>
      <c r="S499" s="2556"/>
      <c r="T499" s="2556"/>
      <c r="U499" s="2556"/>
      <c r="V499" s="2556"/>
      <c r="W499" s="2556"/>
      <c r="X499" s="2556"/>
      <c r="Y499" s="2556"/>
      <c r="Z499" s="2042"/>
      <c r="AA499" s="2043"/>
      <c r="AB499" s="2044"/>
      <c r="AC499" s="2045"/>
      <c r="AD499" s="2044"/>
      <c r="AE499" s="2045"/>
      <c r="AF499" s="2555"/>
      <c r="AG499" s="2551"/>
      <c r="AH499" s="2551"/>
      <c r="AI499" s="2555"/>
      <c r="AJ499" s="2551"/>
      <c r="AK499" s="2551"/>
      <c r="AL499" s="1989"/>
      <c r="AM499" s="1826"/>
      <c r="AN499" s="1826"/>
      <c r="AO499" s="1826"/>
      <c r="AP499" s="1826"/>
      <c r="AQ499" s="1826"/>
      <c r="AR499" s="1826"/>
      <c r="AS499" s="1826"/>
      <c r="AT499" s="1826"/>
      <c r="AU499" s="1826"/>
      <c r="AV499" s="1826"/>
      <c r="AW499" s="1826"/>
      <c r="AX499" s="1826"/>
      <c r="AY499" s="1826"/>
      <c r="AZ499" s="1826"/>
      <c r="BA499" s="1826"/>
      <c r="BB499" s="1826"/>
      <c r="BC499" s="1826"/>
      <c r="BD499" s="1826"/>
      <c r="BE499" s="1826"/>
      <c r="BF499" s="1826"/>
      <c r="BG499" s="1639"/>
    </row>
    <row customHeight="1" ht="0.75">
      <c r="A500" s="1170" t="s">
        <v>1260</v>
      </c>
      <c r="B500" s="1170"/>
      <c r="C500" s="1170"/>
      <c r="D500" s="1164"/>
      <c r="E500" s="1174"/>
      <c r="F500" s="2553"/>
      <c r="G500" s="2532"/>
      <c r="H500" s="2557"/>
      <c r="I500" s="2558"/>
      <c r="J500" s="2559"/>
      <c r="K500" s="2559"/>
      <c r="L500" s="2551"/>
      <c r="M500" s="2285"/>
      <c r="N500" s="2560"/>
      <c r="O500" s="2561"/>
      <c r="P500" s="2607"/>
      <c r="Q500" s="2556"/>
      <c r="R500" s="2556"/>
      <c r="S500" s="2556"/>
      <c r="T500" s="2556"/>
      <c r="U500" s="2556"/>
      <c r="V500" s="2556"/>
      <c r="W500" s="2556"/>
      <c r="X500" s="2556"/>
      <c r="Y500" s="2556"/>
      <c r="Z500" s="2038"/>
      <c r="AA500" s="2039"/>
      <c r="AB500" s="2046"/>
      <c r="AC500" s="2040"/>
      <c r="AD500" s="2040"/>
      <c r="AE500" s="2047"/>
      <c r="AF500" s="2555"/>
      <c r="AG500" s="2551"/>
      <c r="AH500" s="2551"/>
      <c r="AI500" s="2555"/>
      <c r="AJ500" s="2551"/>
      <c r="AK500" s="2551"/>
      <c r="AL500" s="1989"/>
      <c r="AM500" s="1826"/>
      <c r="AN500" s="1826"/>
      <c r="AO500" s="1826"/>
      <c r="AP500" s="1826"/>
      <c r="AQ500" s="1826"/>
      <c r="AR500" s="1826"/>
      <c r="AS500" s="1826"/>
      <c r="AT500" s="1826"/>
      <c r="AU500" s="1826"/>
      <c r="AV500" s="1826"/>
      <c r="AW500" s="1826"/>
      <c r="AX500" s="1826"/>
      <c r="AY500" s="1826"/>
      <c r="AZ500" s="1826"/>
      <c r="BA500" s="1826"/>
      <c r="BB500" s="1826"/>
      <c r="BC500" s="1826"/>
      <c r="BD500" s="1826"/>
      <c r="BE500" s="1826"/>
      <c r="BF500" s="1826"/>
      <c r="BG500" s="1639"/>
    </row>
    <row customHeight="1" ht="0.75">
      <c r="A501" s="1170" t="s">
        <v>1260</v>
      </c>
      <c r="B501" s="1170"/>
      <c r="C501" s="1170"/>
      <c r="D501" s="1164"/>
      <c r="E501" s="1174"/>
      <c r="F501" s="2553"/>
      <c r="G501" s="2532"/>
      <c r="H501" s="2557"/>
      <c r="I501" s="2558"/>
      <c r="J501" s="2559"/>
      <c r="K501" s="2559"/>
      <c r="L501" s="2551"/>
      <c r="M501" s="2285"/>
      <c r="N501" s="2039"/>
      <c r="O501" s="2039"/>
      <c r="P501" s="2046"/>
      <c r="Q501" s="2039"/>
      <c r="R501" s="2039"/>
      <c r="S501" s="2039"/>
      <c r="T501" s="2039"/>
      <c r="U501" s="2039"/>
      <c r="V501" s="2039"/>
      <c r="W501" s="2039"/>
      <c r="X501" s="2039"/>
      <c r="Y501" s="2039"/>
      <c r="Z501" s="2039"/>
      <c r="AA501" s="2039"/>
      <c r="AB501" s="2039"/>
      <c r="AC501" s="2039"/>
      <c r="AD501" s="2039"/>
      <c r="AE501" s="2048"/>
      <c r="AF501" s="2555"/>
      <c r="AG501" s="2551"/>
      <c r="AH501" s="2551"/>
      <c r="AI501" s="2555"/>
      <c r="AJ501" s="2551"/>
      <c r="AK501" s="2551"/>
      <c r="AL501" s="1989"/>
      <c r="AM501" s="1826"/>
      <c r="AN501" s="1826"/>
      <c r="AO501" s="1826"/>
      <c r="AP501" s="1826"/>
      <c r="AQ501" s="1826"/>
      <c r="AR501" s="1826"/>
      <c r="AS501" s="1826"/>
      <c r="AT501" s="1826"/>
      <c r="AU501" s="1826"/>
      <c r="AV501" s="1826"/>
      <c r="AW501" s="1826"/>
      <c r="AX501" s="1826"/>
      <c r="AY501" s="1826"/>
      <c r="AZ501" s="1826"/>
      <c r="BA501" s="1826"/>
      <c r="BB501" s="1826"/>
      <c r="BC501" s="1826"/>
      <c r="BD501" s="1826"/>
      <c r="BE501" s="1826"/>
      <c r="BF501" s="1826"/>
      <c r="BG501" s="1639"/>
    </row>
    <row customHeight="1" ht="11.25">
      <c r="A502" s="1170" t="s">
        <v>1260</v>
      </c>
      <c r="B502" s="1170"/>
      <c r="C502" s="1170"/>
      <c r="D502" s="1164"/>
      <c r="E502" s="1174"/>
      <c r="F502" s="1832"/>
      <c r="G502" s="687" t="s">
        <v>103</v>
      </c>
      <c r="H502" s="2532" t="s">
        <v>105</v>
      </c>
      <c r="I502" s="2533"/>
      <c r="J502" s="2502"/>
      <c r="K502" s="2534" t="s">
        <v>1339</v>
      </c>
      <c r="L502" s="2124" t="s">
        <v>19</v>
      </c>
      <c r="M502" s="2125"/>
      <c r="N502" s="1987"/>
      <c r="O502" s="1181" t="s">
        <v>514</v>
      </c>
      <c r="P502" s="1182"/>
      <c r="Q502" s="1182"/>
      <c r="R502" s="1182"/>
      <c r="S502" s="1182"/>
      <c r="T502" s="1182"/>
      <c r="U502" s="1182"/>
      <c r="V502" s="1182"/>
      <c r="W502" s="1182"/>
      <c r="X502" s="1182"/>
      <c r="Y502" s="1182"/>
      <c r="Z502" s="1182"/>
      <c r="AA502" s="1182"/>
      <c r="AB502" s="1182"/>
      <c r="AC502" s="1182"/>
      <c r="AD502" s="1182"/>
      <c r="AE502" s="1182"/>
      <c r="AF502" s="2523">
        <v>3</v>
      </c>
      <c r="AG502" s="2524" t="s">
        <v>1302</v>
      </c>
      <c r="AH502" s="2524" t="s">
        <v>1340</v>
      </c>
      <c r="AI502" s="2523">
        <v>3</v>
      </c>
      <c r="AJ502" s="2524" t="s">
        <v>1302</v>
      </c>
      <c r="AK502" s="2524" t="s">
        <v>1340</v>
      </c>
      <c r="AL502" s="1989"/>
      <c r="AM502" s="1826"/>
      <c r="AN502" s="1826"/>
      <c r="AO502" s="1826"/>
      <c r="AP502" s="1826"/>
      <c r="AQ502" s="1826"/>
      <c r="AR502" s="1826"/>
      <c r="AS502" s="1826"/>
      <c r="AT502" s="1826"/>
      <c r="AU502" s="1826"/>
      <c r="AV502" s="1826"/>
      <c r="AW502" s="1826"/>
      <c r="AX502" s="1826"/>
      <c r="AY502" s="1826"/>
      <c r="AZ502" s="1826"/>
      <c r="BA502" s="1826"/>
      <c r="BB502" s="1826"/>
      <c r="BC502" s="1826"/>
      <c r="BD502" s="1826"/>
      <c r="BE502" s="1826"/>
      <c r="BF502" s="1826"/>
      <c r="BG502" s="1639"/>
    </row>
    <row customHeight="1" ht="11.25">
      <c r="A503" s="1170" t="s">
        <v>1260</v>
      </c>
      <c r="B503" s="1170"/>
      <c r="C503" s="1170"/>
      <c r="D503" s="1164"/>
      <c r="E503" s="1174"/>
      <c r="F503" s="1832"/>
      <c r="G503" s="1833"/>
      <c r="H503" s="2532" t="s">
        <v>514</v>
      </c>
      <c r="I503" s="2533"/>
      <c r="J503" s="2502"/>
      <c r="K503" s="2534"/>
      <c r="L503" s="2124"/>
      <c r="M503" s="2125"/>
      <c r="N503" s="2525"/>
      <c r="O503" s="2526">
        <v>1</v>
      </c>
      <c r="P503" s="2527" t="s">
        <v>19</v>
      </c>
      <c r="Q503" s="2530" t="s">
        <v>22</v>
      </c>
      <c r="R503" s="2530" t="s">
        <v>22</v>
      </c>
      <c r="S503" s="2530" t="s">
        <v>22</v>
      </c>
      <c r="T503" s="2530" t="s">
        <v>22</v>
      </c>
      <c r="U503" s="2530" t="s">
        <v>22</v>
      </c>
      <c r="V503" s="2530" t="s">
        <v>22</v>
      </c>
      <c r="W503" s="2530" t="s">
        <v>22</v>
      </c>
      <c r="X503" s="2530" t="s">
        <v>22</v>
      </c>
      <c r="Y503" s="2530"/>
      <c r="Z503" s="1179"/>
      <c r="AA503" s="1180"/>
      <c r="AB503" s="1180"/>
      <c r="AC503" s="1184"/>
      <c r="AD503" s="1184"/>
      <c r="AE503" s="1185"/>
      <c r="AF503" s="2523"/>
      <c r="AG503" s="2524"/>
      <c r="AH503" s="2524"/>
      <c r="AI503" s="2523"/>
      <c r="AJ503" s="2524"/>
      <c r="AK503" s="2524"/>
      <c r="AL503" s="1989"/>
      <c r="AM503" s="1826"/>
      <c r="AN503" s="1826"/>
      <c r="AO503" s="1826"/>
      <c r="AP503" s="1826"/>
      <c r="AQ503" s="1826"/>
      <c r="AR503" s="1826"/>
      <c r="AS503" s="1826"/>
      <c r="AT503" s="1826"/>
      <c r="AU503" s="1826"/>
      <c r="AV503" s="1826"/>
      <c r="AW503" s="1826"/>
      <c r="AX503" s="1826"/>
      <c r="AY503" s="1826"/>
      <c r="AZ503" s="1826"/>
      <c r="BA503" s="1826"/>
      <c r="BB503" s="1826"/>
      <c r="BC503" s="1826"/>
      <c r="BD503" s="1826"/>
      <c r="BE503" s="1826"/>
      <c r="BF503" s="1826"/>
      <c r="BG503" s="1639"/>
    </row>
    <row customHeight="1" ht="11.25">
      <c r="A504" s="1170" t="s">
        <v>1260</v>
      </c>
      <c r="B504" s="1170"/>
      <c r="C504" s="1170"/>
      <c r="D504" s="1164"/>
      <c r="E504" s="1174"/>
      <c r="F504" s="1832"/>
      <c r="G504" s="1833"/>
      <c r="H504" s="2532" t="s">
        <v>514</v>
      </c>
      <c r="I504" s="2533"/>
      <c r="J504" s="2502"/>
      <c r="K504" s="2534"/>
      <c r="L504" s="2124"/>
      <c r="M504" s="2125"/>
      <c r="N504" s="2525"/>
      <c r="O504" s="2526"/>
      <c r="P504" s="2528"/>
      <c r="Q504" s="2530"/>
      <c r="R504" s="2530"/>
      <c r="S504" s="2531"/>
      <c r="T504" s="2530"/>
      <c r="U504" s="2530"/>
      <c r="V504" s="2530"/>
      <c r="W504" s="2530"/>
      <c r="X504" s="2530"/>
      <c r="Y504" s="2530"/>
      <c r="Z504" s="1831"/>
      <c r="AA504" s="1797">
        <v>1</v>
      </c>
      <c r="AB504" s="1183" t="s">
        <v>1312</v>
      </c>
      <c r="AC504" s="1173">
        <v>535</v>
      </c>
      <c r="AD504" s="1183" t="str">
        <f>AB504</f>
        <v>  Прибыль направляемая на инвестиции</v>
      </c>
      <c r="AE504" s="1173">
        <v>0</v>
      </c>
      <c r="AF504" s="2523"/>
      <c r="AG504" s="2524"/>
      <c r="AH504" s="2524"/>
      <c r="AI504" s="2523"/>
      <c r="AJ504" s="2524"/>
      <c r="AK504" s="2524"/>
      <c r="AL504" s="1989"/>
      <c r="AM504" s="1826"/>
      <c r="AN504" s="1826"/>
      <c r="AO504" s="1826"/>
      <c r="AP504" s="1826"/>
      <c r="AQ504" s="1826"/>
      <c r="AR504" s="1826"/>
      <c r="AS504" s="1826"/>
      <c r="AT504" s="1826"/>
      <c r="AU504" s="1826"/>
      <c r="AV504" s="1826"/>
      <c r="AW504" s="1826"/>
      <c r="AX504" s="1826"/>
      <c r="AY504" s="1826"/>
      <c r="AZ504" s="1826"/>
      <c r="BA504" s="1826"/>
      <c r="BB504" s="1826"/>
      <c r="BC504" s="1826"/>
      <c r="BD504" s="1826"/>
      <c r="BE504" s="1826"/>
      <c r="BF504" s="1826"/>
      <c r="BG504" s="1639"/>
    </row>
    <row customHeight="1" ht="11.25">
      <c r="A505" s="1170" t="s">
        <v>1260</v>
      </c>
      <c r="B505" s="1170"/>
      <c r="C505" s="1170"/>
      <c r="D505" s="1164"/>
      <c r="E505" s="1174"/>
      <c r="F505" s="1833"/>
      <c r="G505" s="1833"/>
      <c r="H505" s="1833"/>
      <c r="I505" s="1833"/>
      <c r="J505" s="1833"/>
      <c r="K505" s="1833"/>
      <c r="L505" s="1833"/>
      <c r="M505" s="1833"/>
      <c r="N505" s="1833"/>
      <c r="O505" s="1833"/>
      <c r="P505" s="1833"/>
      <c r="Q505" s="1833"/>
      <c r="R505" s="1833"/>
      <c r="S505" s="1833"/>
      <c r="T505" s="1833"/>
      <c r="U505" s="1833"/>
      <c r="V505" s="1833"/>
      <c r="W505" s="1833"/>
      <c r="X505" s="1833"/>
      <c r="Y505" s="1833"/>
      <c r="Z505" s="687" t="s">
        <v>103</v>
      </c>
      <c r="AA505" s="1817" t="s">
        <v>102</v>
      </c>
      <c r="AB505" s="1183" t="s">
        <v>1325</v>
      </c>
      <c r="AC505" s="1173">
        <v>123.1</v>
      </c>
      <c r="AD505" s="1183" t="str">
        <f>AB505</f>
        <v>     Амортизационные отчисления в результате переоценки основных средств и нематериальных активов</v>
      </c>
      <c r="AE505" s="1173">
        <v>0</v>
      </c>
      <c r="AF505" s="2090"/>
      <c r="AG505" s="1762"/>
      <c r="AH505" s="1762"/>
      <c r="AI505" s="2090"/>
      <c r="AJ505" s="1762"/>
      <c r="AK505" s="1988"/>
      <c r="AL505" s="1989"/>
      <c r="AM505" s="1826"/>
      <c r="AN505" s="1826"/>
      <c r="AO505" s="1826"/>
      <c r="AP505" s="1826"/>
      <c r="AQ505" s="1826"/>
      <c r="AR505" s="1826"/>
      <c r="AS505" s="1826"/>
      <c r="AT505" s="1826"/>
      <c r="AU505" s="1826"/>
      <c r="AV505" s="1826"/>
      <c r="AW505" s="1826"/>
      <c r="AX505" s="1826"/>
      <c r="AY505" s="1826"/>
      <c r="AZ505" s="1826"/>
      <c r="BA505" s="1826"/>
      <c r="BB505" s="1826"/>
      <c r="BC505" s="1826"/>
      <c r="BD505" s="1826"/>
      <c r="BE505" s="1826"/>
      <c r="BF505" s="1826"/>
      <c r="BG505" s="1639"/>
    </row>
    <row customHeight="1" ht="11.25">
      <c r="A506" s="1170" t="s">
        <v>1260</v>
      </c>
      <c r="B506" s="1170"/>
      <c r="C506" s="1170"/>
      <c r="D506" s="1164"/>
      <c r="E506" s="1174"/>
      <c r="F506" s="1832"/>
      <c r="G506" s="1833"/>
      <c r="H506" s="2532" t="s">
        <v>514</v>
      </c>
      <c r="I506" s="2533"/>
      <c r="J506" s="2502"/>
      <c r="K506" s="2534"/>
      <c r="L506" s="2124"/>
      <c r="M506" s="2125"/>
      <c r="N506" s="2525"/>
      <c r="O506" s="2526"/>
      <c r="P506" s="2529"/>
      <c r="Q506" s="2530"/>
      <c r="R506" s="2530"/>
      <c r="S506" s="2531"/>
      <c r="T506" s="2530"/>
      <c r="U506" s="2530"/>
      <c r="V506" s="2530"/>
      <c r="W506" s="2530"/>
      <c r="X506" s="2530"/>
      <c r="Y506" s="2530"/>
      <c r="Z506" s="1179"/>
      <c r="AA506" s="1180"/>
      <c r="AB506" s="1245" t="s">
        <v>1313</v>
      </c>
      <c r="AC506" s="1184"/>
      <c r="AD506" s="1184"/>
      <c r="AE506" s="1186"/>
      <c r="AF506" s="2523"/>
      <c r="AG506" s="2524"/>
      <c r="AH506" s="2524"/>
      <c r="AI506" s="2523"/>
      <c r="AJ506" s="2524"/>
      <c r="AK506" s="2524"/>
      <c r="AL506" s="1989"/>
      <c r="AM506" s="1826"/>
      <c r="AN506" s="1826"/>
      <c r="AO506" s="1826"/>
      <c r="AP506" s="1826"/>
      <c r="AQ506" s="1826"/>
      <c r="AR506" s="1826"/>
      <c r="AS506" s="1826"/>
      <c r="AT506" s="1826"/>
      <c r="AU506" s="1826"/>
      <c r="AV506" s="1826"/>
      <c r="AW506" s="1826"/>
      <c r="AX506" s="1826"/>
      <c r="AY506" s="1826"/>
      <c r="AZ506" s="1826"/>
      <c r="BA506" s="1826"/>
      <c r="BB506" s="1826"/>
      <c r="BC506" s="1826"/>
      <c r="BD506" s="1826"/>
      <c r="BE506" s="1826"/>
      <c r="BF506" s="1826"/>
      <c r="BG506" s="1639"/>
    </row>
    <row customHeight="1" ht="11.25">
      <c r="A507" s="1170" t="s">
        <v>1260</v>
      </c>
      <c r="B507" s="1170"/>
      <c r="C507" s="1170"/>
      <c r="D507" s="1164"/>
      <c r="E507" s="1174"/>
      <c r="F507" s="1832"/>
      <c r="G507" s="1833"/>
      <c r="H507" s="2532" t="s">
        <v>514</v>
      </c>
      <c r="I507" s="2533"/>
      <c r="J507" s="2502"/>
      <c r="K507" s="2534"/>
      <c r="L507" s="2124"/>
      <c r="M507" s="2125"/>
      <c r="N507" s="1179"/>
      <c r="O507" s="1180"/>
      <c r="P507" s="1172" t="s">
        <v>1314</v>
      </c>
      <c r="Q507" s="1180"/>
      <c r="R507" s="1180"/>
      <c r="S507" s="1180"/>
      <c r="T507" s="1180"/>
      <c r="U507" s="1180"/>
      <c r="V507" s="1180"/>
      <c r="W507" s="1180"/>
      <c r="X507" s="1180"/>
      <c r="Y507" s="1180"/>
      <c r="Z507" s="1180"/>
      <c r="AA507" s="1180"/>
      <c r="AB507" s="1180"/>
      <c r="AC507" s="1180"/>
      <c r="AD507" s="1180"/>
      <c r="AE507" s="1187"/>
      <c r="AF507" s="2523"/>
      <c r="AG507" s="2524"/>
      <c r="AH507" s="2524"/>
      <c r="AI507" s="2523"/>
      <c r="AJ507" s="2524"/>
      <c r="AK507" s="2524"/>
      <c r="AL507" s="1989"/>
      <c r="AM507" s="1826"/>
      <c r="AN507" s="1826"/>
      <c r="AO507" s="1826"/>
      <c r="AP507" s="1826"/>
      <c r="AQ507" s="1826"/>
      <c r="AR507" s="1826"/>
      <c r="AS507" s="1826"/>
      <c r="AT507" s="1826"/>
      <c r="AU507" s="1826"/>
      <c r="AV507" s="1826"/>
      <c r="AW507" s="1826"/>
      <c r="AX507" s="1826"/>
      <c r="AY507" s="1826"/>
      <c r="AZ507" s="1826"/>
      <c r="BA507" s="1826"/>
      <c r="BB507" s="1826"/>
      <c r="BC507" s="1826"/>
      <c r="BD507" s="1826"/>
      <c r="BE507" s="1826"/>
      <c r="BF507" s="1826"/>
      <c r="BG507" s="1639"/>
    </row>
    <row customHeight="1" ht="12">
      <c r="A508" s="1170" t="s">
        <v>1260</v>
      </c>
      <c r="B508" s="1170"/>
      <c r="C508" s="1170"/>
      <c r="D508" s="1164"/>
      <c r="E508" s="1174"/>
      <c r="F508" s="2554"/>
      <c r="G508" s="1194"/>
      <c r="H508" s="1194"/>
      <c r="I508" s="2552" t="s">
        <v>1300</v>
      </c>
      <c r="J508" s="2552"/>
      <c r="K508" s="2552"/>
      <c r="L508" s="1177"/>
      <c r="M508" s="1177"/>
      <c r="N508" s="1178"/>
      <c r="O508" s="1178"/>
      <c r="P508" s="1178"/>
      <c r="Q508" s="1178"/>
      <c r="R508" s="1178"/>
      <c r="S508" s="1178"/>
      <c r="T508" s="1178"/>
      <c r="U508" s="1178"/>
      <c r="V508" s="1178"/>
      <c r="W508" s="1178"/>
      <c r="X508" s="1178"/>
      <c r="Y508" s="1178"/>
      <c r="Z508" s="1178"/>
      <c r="AA508" s="1178"/>
      <c r="AB508" s="1178"/>
      <c r="AC508" s="1178"/>
      <c r="AD508" s="1178"/>
      <c r="AE508" s="1178"/>
      <c r="AF508" s="1178"/>
      <c r="AG508" s="1177"/>
      <c r="AH508" s="1177"/>
      <c r="AI508" s="1178"/>
      <c r="AJ508" s="1177"/>
      <c r="AK508" s="1178"/>
      <c r="AL508" s="1989"/>
      <c r="AM508" s="1826"/>
      <c r="AN508" s="1826"/>
      <c r="AO508" s="1826"/>
      <c r="AP508" s="1826"/>
      <c r="AQ508" s="1826"/>
      <c r="AR508" s="1826"/>
      <c r="AS508" s="1826"/>
      <c r="AT508" s="1826"/>
      <c r="AU508" s="1826"/>
      <c r="AV508" s="1826"/>
      <c r="AW508" s="1826"/>
      <c r="AX508" s="1826"/>
      <c r="AY508" s="1826"/>
      <c r="AZ508" s="1826"/>
      <c r="BA508" s="1826"/>
      <c r="BB508" s="1826"/>
      <c r="BC508" s="1826"/>
      <c r="BD508" s="1826"/>
      <c r="BE508" s="1826"/>
      <c r="BF508" s="1826"/>
      <c r="BG508" s="1639"/>
    </row>
    <row customHeight="1" ht="0.75">
      <c r="A509" s="1170" t="s">
        <v>1260</v>
      </c>
      <c r="B509" s="1170"/>
      <c r="C509" s="1170"/>
      <c r="D509" s="1164"/>
      <c r="E509" s="1174"/>
      <c r="F509" s="2553">
        <v>2025</v>
      </c>
      <c r="G509" s="2532"/>
      <c r="H509" s="2557" t="s">
        <v>514</v>
      </c>
      <c r="I509" s="2558"/>
      <c r="J509" s="2559"/>
      <c r="K509" s="2559"/>
      <c r="L509" s="2551"/>
      <c r="M509" s="2285"/>
      <c r="N509" s="2037"/>
      <c r="O509" s="2036"/>
      <c r="P509" s="2037"/>
      <c r="Q509" s="2037"/>
      <c r="R509" s="2037"/>
      <c r="S509" s="2037"/>
      <c r="T509" s="2037"/>
      <c r="U509" s="2037"/>
      <c r="V509" s="2037"/>
      <c r="W509" s="2037"/>
      <c r="X509" s="2037"/>
      <c r="Y509" s="2037"/>
      <c r="Z509" s="2037"/>
      <c r="AA509" s="2037"/>
      <c r="AB509" s="2037"/>
      <c r="AC509" s="2037"/>
      <c r="AD509" s="2037"/>
      <c r="AE509" s="2037"/>
      <c r="AF509" s="2555"/>
      <c r="AG509" s="2551"/>
      <c r="AH509" s="2551"/>
      <c r="AI509" s="2555"/>
      <c r="AJ509" s="2551"/>
      <c r="AK509" s="2551"/>
      <c r="AL509" s="1989"/>
      <c r="AM509" s="1826"/>
      <c r="AN509" s="1826"/>
      <c r="AO509" s="1826"/>
      <c r="AP509" s="1826"/>
      <c r="AQ509" s="1826"/>
      <c r="AR509" s="1826"/>
      <c r="AS509" s="1826"/>
      <c r="AT509" s="1826"/>
      <c r="AU509" s="1826"/>
      <c r="AV509" s="1826"/>
      <c r="AW509" s="1826"/>
      <c r="AX509" s="1826"/>
      <c r="AY509" s="1826"/>
      <c r="AZ509" s="1826"/>
      <c r="BA509" s="1826"/>
      <c r="BB509" s="1826"/>
      <c r="BC509" s="1826"/>
      <c r="BD509" s="1826"/>
      <c r="BE509" s="1826"/>
      <c r="BF509" s="1826"/>
      <c r="BG509" s="1639"/>
    </row>
    <row customHeight="1" ht="0.75">
      <c r="A510" s="1170" t="s">
        <v>1260</v>
      </c>
      <c r="B510" s="1170"/>
      <c r="C510" s="1170"/>
      <c r="D510" s="1164"/>
      <c r="E510" s="1174"/>
      <c r="F510" s="2553"/>
      <c r="G510" s="2532"/>
      <c r="H510" s="2557"/>
      <c r="I510" s="2558"/>
      <c r="J510" s="2559"/>
      <c r="K510" s="2559"/>
      <c r="L510" s="2551"/>
      <c r="M510" s="2285"/>
      <c r="N510" s="2560"/>
      <c r="O510" s="2561"/>
      <c r="P510" s="2605"/>
      <c r="Q510" s="2556"/>
      <c r="R510" s="2556"/>
      <c r="S510" s="2556"/>
      <c r="T510" s="2556"/>
      <c r="U510" s="2556"/>
      <c r="V510" s="2556"/>
      <c r="W510" s="2556"/>
      <c r="X510" s="2556"/>
      <c r="Y510" s="2556"/>
      <c r="Z510" s="2038"/>
      <c r="AA510" s="2039"/>
      <c r="AB510" s="2039"/>
      <c r="AC510" s="2040"/>
      <c r="AD510" s="2040"/>
      <c r="AE510" s="2041"/>
      <c r="AF510" s="2555"/>
      <c r="AG510" s="2551"/>
      <c r="AH510" s="2551"/>
      <c r="AI510" s="2555"/>
      <c r="AJ510" s="2551"/>
      <c r="AK510" s="2551"/>
      <c r="AL510" s="1989"/>
      <c r="AM510" s="1826"/>
      <c r="AN510" s="1826"/>
      <c r="AO510" s="1826"/>
      <c r="AP510" s="1826"/>
      <c r="AQ510" s="1826"/>
      <c r="AR510" s="1826"/>
      <c r="AS510" s="1826"/>
      <c r="AT510" s="1826"/>
      <c r="AU510" s="1826"/>
      <c r="AV510" s="1826"/>
      <c r="AW510" s="1826"/>
      <c r="AX510" s="1826"/>
      <c r="AY510" s="1826"/>
      <c r="AZ510" s="1826"/>
      <c r="BA510" s="1826"/>
      <c r="BB510" s="1826"/>
      <c r="BC510" s="1826"/>
      <c r="BD510" s="1826"/>
      <c r="BE510" s="1826"/>
      <c r="BF510" s="1826"/>
      <c r="BG510" s="1639"/>
    </row>
    <row customHeight="1" ht="0.75">
      <c r="A511" s="1170" t="s">
        <v>1260</v>
      </c>
      <c r="B511" s="1170"/>
      <c r="C511" s="1170"/>
      <c r="D511" s="1164"/>
      <c r="E511" s="1174"/>
      <c r="F511" s="2553"/>
      <c r="G511" s="2532"/>
      <c r="H511" s="2557"/>
      <c r="I511" s="2558"/>
      <c r="J511" s="2559"/>
      <c r="K511" s="2559"/>
      <c r="L511" s="2551"/>
      <c r="M511" s="2285"/>
      <c r="N511" s="2560"/>
      <c r="O511" s="2561"/>
      <c r="P511" s="2606"/>
      <c r="Q511" s="2556"/>
      <c r="R511" s="2556"/>
      <c r="S511" s="2556"/>
      <c r="T511" s="2556"/>
      <c r="U511" s="2556"/>
      <c r="V511" s="2556"/>
      <c r="W511" s="2556"/>
      <c r="X511" s="2556"/>
      <c r="Y511" s="2556"/>
      <c r="Z511" s="2042"/>
      <c r="AA511" s="2043"/>
      <c r="AB511" s="2044"/>
      <c r="AC511" s="2045"/>
      <c r="AD511" s="2044"/>
      <c r="AE511" s="2045"/>
      <c r="AF511" s="2555"/>
      <c r="AG511" s="2551"/>
      <c r="AH511" s="2551"/>
      <c r="AI511" s="2555"/>
      <c r="AJ511" s="2551"/>
      <c r="AK511" s="2551"/>
      <c r="AL511" s="1989"/>
      <c r="AM511" s="1826"/>
      <c r="AN511" s="1826"/>
      <c r="AO511" s="1826"/>
      <c r="AP511" s="1826"/>
      <c r="AQ511" s="1826"/>
      <c r="AR511" s="1826"/>
      <c r="AS511" s="1826"/>
      <c r="AT511" s="1826"/>
      <c r="AU511" s="1826"/>
      <c r="AV511" s="1826"/>
      <c r="AW511" s="1826"/>
      <c r="AX511" s="1826"/>
      <c r="AY511" s="1826"/>
      <c r="AZ511" s="1826"/>
      <c r="BA511" s="1826"/>
      <c r="BB511" s="1826"/>
      <c r="BC511" s="1826"/>
      <c r="BD511" s="1826"/>
      <c r="BE511" s="1826"/>
      <c r="BF511" s="1826"/>
      <c r="BG511" s="1639"/>
    </row>
    <row customHeight="1" ht="0.75">
      <c r="A512" s="1170" t="s">
        <v>1260</v>
      </c>
      <c r="B512" s="1170"/>
      <c r="C512" s="1170"/>
      <c r="D512" s="1164"/>
      <c r="E512" s="1174"/>
      <c r="F512" s="2553"/>
      <c r="G512" s="2532"/>
      <c r="H512" s="2557"/>
      <c r="I512" s="2558"/>
      <c r="J512" s="2559"/>
      <c r="K512" s="2559"/>
      <c r="L512" s="2551"/>
      <c r="M512" s="2285"/>
      <c r="N512" s="2560"/>
      <c r="O512" s="2561"/>
      <c r="P512" s="2607"/>
      <c r="Q512" s="2556"/>
      <c r="R512" s="2556"/>
      <c r="S512" s="2556"/>
      <c r="T512" s="2556"/>
      <c r="U512" s="2556"/>
      <c r="V512" s="2556"/>
      <c r="W512" s="2556"/>
      <c r="X512" s="2556"/>
      <c r="Y512" s="2556"/>
      <c r="Z512" s="2038"/>
      <c r="AA512" s="2039"/>
      <c r="AB512" s="2046"/>
      <c r="AC512" s="2040"/>
      <c r="AD512" s="2040"/>
      <c r="AE512" s="2047"/>
      <c r="AF512" s="2555"/>
      <c r="AG512" s="2551"/>
      <c r="AH512" s="2551"/>
      <c r="AI512" s="2555"/>
      <c r="AJ512" s="2551"/>
      <c r="AK512" s="2551"/>
      <c r="AL512" s="1989"/>
      <c r="AM512" s="1826"/>
      <c r="AN512" s="1826"/>
      <c r="AO512" s="1826"/>
      <c r="AP512" s="1826"/>
      <c r="AQ512" s="1826"/>
      <c r="AR512" s="1826"/>
      <c r="AS512" s="1826"/>
      <c r="AT512" s="1826"/>
      <c r="AU512" s="1826"/>
      <c r="AV512" s="1826"/>
      <c r="AW512" s="1826"/>
      <c r="AX512" s="1826"/>
      <c r="AY512" s="1826"/>
      <c r="AZ512" s="1826"/>
      <c r="BA512" s="1826"/>
      <c r="BB512" s="1826"/>
      <c r="BC512" s="1826"/>
      <c r="BD512" s="1826"/>
      <c r="BE512" s="1826"/>
      <c r="BF512" s="1826"/>
      <c r="BG512" s="1639"/>
    </row>
    <row customHeight="1" ht="0.75">
      <c r="A513" s="1170" t="s">
        <v>1260</v>
      </c>
      <c r="B513" s="1170"/>
      <c r="C513" s="1170"/>
      <c r="D513" s="1164"/>
      <c r="E513" s="1174"/>
      <c r="F513" s="2553"/>
      <c r="G513" s="2532"/>
      <c r="H513" s="2557"/>
      <c r="I513" s="2558"/>
      <c r="J513" s="2559"/>
      <c r="K513" s="2559"/>
      <c r="L513" s="2551"/>
      <c r="M513" s="2285"/>
      <c r="N513" s="2039"/>
      <c r="O513" s="2039"/>
      <c r="P513" s="2046"/>
      <c r="Q513" s="2039"/>
      <c r="R513" s="2039"/>
      <c r="S513" s="2039"/>
      <c r="T513" s="2039"/>
      <c r="U513" s="2039"/>
      <c r="V513" s="2039"/>
      <c r="W513" s="2039"/>
      <c r="X513" s="2039"/>
      <c r="Y513" s="2039"/>
      <c r="Z513" s="2039"/>
      <c r="AA513" s="2039"/>
      <c r="AB513" s="2039"/>
      <c r="AC513" s="2039"/>
      <c r="AD513" s="2039"/>
      <c r="AE513" s="2048"/>
      <c r="AF513" s="2555"/>
      <c r="AG513" s="2551"/>
      <c r="AH513" s="2551"/>
      <c r="AI513" s="2555"/>
      <c r="AJ513" s="2551"/>
      <c r="AK513" s="2551"/>
      <c r="AL513" s="1989"/>
      <c r="AM513" s="1826"/>
      <c r="AN513" s="1826"/>
      <c r="AO513" s="1826"/>
      <c r="AP513" s="1826"/>
      <c r="AQ513" s="1826"/>
      <c r="AR513" s="1826"/>
      <c r="AS513" s="1826"/>
      <c r="AT513" s="1826"/>
      <c r="AU513" s="1826"/>
      <c r="AV513" s="1826"/>
      <c r="AW513" s="1826"/>
      <c r="AX513" s="1826"/>
      <c r="AY513" s="1826"/>
      <c r="AZ513" s="1826"/>
      <c r="BA513" s="1826"/>
      <c r="BB513" s="1826"/>
      <c r="BC513" s="1826"/>
      <c r="BD513" s="1826"/>
      <c r="BE513" s="1826"/>
      <c r="BF513" s="1826"/>
      <c r="BG513" s="1639"/>
    </row>
    <row customHeight="1" ht="12">
      <c r="A514" s="1170" t="s">
        <v>1260</v>
      </c>
      <c r="B514" s="1170"/>
      <c r="C514" s="1170"/>
      <c r="D514" s="1164"/>
      <c r="E514" s="1174"/>
      <c r="F514" s="2554"/>
      <c r="G514" s="1194"/>
      <c r="H514" s="1194"/>
      <c r="I514" s="2552" t="s">
        <v>1300</v>
      </c>
      <c r="J514" s="2552"/>
      <c r="K514" s="2552"/>
      <c r="L514" s="1177"/>
      <c r="M514" s="1177"/>
      <c r="N514" s="1178"/>
      <c r="O514" s="1178"/>
      <c r="P514" s="1178"/>
      <c r="Q514" s="1178"/>
      <c r="R514" s="1178"/>
      <c r="S514" s="1178"/>
      <c r="T514" s="1178"/>
      <c r="U514" s="1178"/>
      <c r="V514" s="1178"/>
      <c r="W514" s="1178"/>
      <c r="X514" s="1178"/>
      <c r="Y514" s="1178"/>
      <c r="Z514" s="1178"/>
      <c r="AA514" s="1178"/>
      <c r="AB514" s="1178"/>
      <c r="AC514" s="1178"/>
      <c r="AD514" s="1178"/>
      <c r="AE514" s="1178"/>
      <c r="AF514" s="1178"/>
      <c r="AG514" s="1177"/>
      <c r="AH514" s="1177"/>
      <c r="AI514" s="1178"/>
      <c r="AJ514" s="1177"/>
      <c r="AK514" s="1178"/>
      <c r="AL514" s="1989"/>
      <c r="AM514" s="1826"/>
      <c r="AN514" s="1826"/>
      <c r="AO514" s="1826"/>
      <c r="AP514" s="1826"/>
      <c r="AQ514" s="1826"/>
      <c r="AR514" s="1826"/>
      <c r="AS514" s="1826"/>
      <c r="AT514" s="1826"/>
      <c r="AU514" s="1826"/>
      <c r="AV514" s="1826"/>
      <c r="AW514" s="1826"/>
      <c r="AX514" s="1826"/>
      <c r="AY514" s="1826"/>
      <c r="AZ514" s="1826"/>
      <c r="BA514" s="1826"/>
      <c r="BB514" s="1826"/>
      <c r="BC514" s="1826"/>
      <c r="BD514" s="1826"/>
      <c r="BE514" s="1826"/>
      <c r="BF514" s="1826"/>
      <c r="BG514" s="1639"/>
    </row>
    <row customHeight="1" ht="0.75">
      <c r="A515" s="1170" t="s">
        <v>1260</v>
      </c>
      <c r="B515" s="1170"/>
      <c r="C515" s="1170"/>
      <c r="D515" s="1164"/>
      <c r="E515" s="1174"/>
      <c r="F515" s="2553">
        <v>2026</v>
      </c>
      <c r="G515" s="2532"/>
      <c r="H515" s="2557" t="s">
        <v>514</v>
      </c>
      <c r="I515" s="2558"/>
      <c r="J515" s="2559"/>
      <c r="K515" s="2559"/>
      <c r="L515" s="2551"/>
      <c r="M515" s="2285"/>
      <c r="N515" s="2037"/>
      <c r="O515" s="2036"/>
      <c r="P515" s="2037"/>
      <c r="Q515" s="2037"/>
      <c r="R515" s="2037"/>
      <c r="S515" s="2037"/>
      <c r="T515" s="2037"/>
      <c r="U515" s="2037"/>
      <c r="V515" s="2037"/>
      <c r="W515" s="2037"/>
      <c r="X515" s="2037"/>
      <c r="Y515" s="2037"/>
      <c r="Z515" s="2037"/>
      <c r="AA515" s="2037"/>
      <c r="AB515" s="2037"/>
      <c r="AC515" s="2037"/>
      <c r="AD515" s="2037"/>
      <c r="AE515" s="2037"/>
      <c r="AF515" s="2555"/>
      <c r="AG515" s="2551"/>
      <c r="AH515" s="2551"/>
      <c r="AI515" s="2555"/>
      <c r="AJ515" s="2551"/>
      <c r="AK515" s="2551"/>
      <c r="AL515" s="1989"/>
      <c r="AM515" s="1826"/>
      <c r="AN515" s="1826"/>
      <c r="AO515" s="1826"/>
      <c r="AP515" s="1826"/>
      <c r="AQ515" s="1826"/>
      <c r="AR515" s="1826"/>
      <c r="AS515" s="1826"/>
      <c r="AT515" s="1826"/>
      <c r="AU515" s="1826"/>
      <c r="AV515" s="1826"/>
      <c r="AW515" s="1826"/>
      <c r="AX515" s="1826"/>
      <c r="AY515" s="1826"/>
      <c r="AZ515" s="1826"/>
      <c r="BA515" s="1826"/>
      <c r="BB515" s="1826"/>
      <c r="BC515" s="1826"/>
      <c r="BD515" s="1826"/>
      <c r="BE515" s="1826"/>
      <c r="BF515" s="1826"/>
      <c r="BG515" s="1639"/>
    </row>
    <row customHeight="1" ht="0.75">
      <c r="A516" s="1170" t="s">
        <v>1260</v>
      </c>
      <c r="B516" s="1170"/>
      <c r="C516" s="1170"/>
      <c r="D516" s="1164"/>
      <c r="E516" s="1174"/>
      <c r="F516" s="2553"/>
      <c r="G516" s="2532"/>
      <c r="H516" s="2557"/>
      <c r="I516" s="2558"/>
      <c r="J516" s="2559"/>
      <c r="K516" s="2559"/>
      <c r="L516" s="2551"/>
      <c r="M516" s="2285"/>
      <c r="N516" s="2560"/>
      <c r="O516" s="2561"/>
      <c r="P516" s="2605"/>
      <c r="Q516" s="2556"/>
      <c r="R516" s="2556"/>
      <c r="S516" s="2556"/>
      <c r="T516" s="2556"/>
      <c r="U516" s="2556"/>
      <c r="V516" s="2556"/>
      <c r="W516" s="2556"/>
      <c r="X516" s="2556"/>
      <c r="Y516" s="2556"/>
      <c r="Z516" s="2038"/>
      <c r="AA516" s="2039"/>
      <c r="AB516" s="2039"/>
      <c r="AC516" s="2040"/>
      <c r="AD516" s="2040"/>
      <c r="AE516" s="2041"/>
      <c r="AF516" s="2555"/>
      <c r="AG516" s="2551"/>
      <c r="AH516" s="2551"/>
      <c r="AI516" s="2555"/>
      <c r="AJ516" s="2551"/>
      <c r="AK516" s="2551"/>
      <c r="AL516" s="1989"/>
      <c r="AM516" s="1826"/>
      <c r="AN516" s="1826"/>
      <c r="AO516" s="1826"/>
      <c r="AP516" s="1826"/>
      <c r="AQ516" s="1826"/>
      <c r="AR516" s="1826"/>
      <c r="AS516" s="1826"/>
      <c r="AT516" s="1826"/>
      <c r="AU516" s="1826"/>
      <c r="AV516" s="1826"/>
      <c r="AW516" s="1826"/>
      <c r="AX516" s="1826"/>
      <c r="AY516" s="1826"/>
      <c r="AZ516" s="1826"/>
      <c r="BA516" s="1826"/>
      <c r="BB516" s="1826"/>
      <c r="BC516" s="1826"/>
      <c r="BD516" s="1826"/>
      <c r="BE516" s="1826"/>
      <c r="BF516" s="1826"/>
      <c r="BG516" s="1639"/>
    </row>
    <row customHeight="1" ht="0.75">
      <c r="A517" s="1170" t="s">
        <v>1260</v>
      </c>
      <c r="B517" s="1170"/>
      <c r="C517" s="1170"/>
      <c r="D517" s="1164"/>
      <c r="E517" s="1174"/>
      <c r="F517" s="2553"/>
      <c r="G517" s="2532"/>
      <c r="H517" s="2557"/>
      <c r="I517" s="2558"/>
      <c r="J517" s="2559"/>
      <c r="K517" s="2559"/>
      <c r="L517" s="2551"/>
      <c r="M517" s="2285"/>
      <c r="N517" s="2560"/>
      <c r="O517" s="2561"/>
      <c r="P517" s="2606"/>
      <c r="Q517" s="2556"/>
      <c r="R517" s="2556"/>
      <c r="S517" s="2556"/>
      <c r="T517" s="2556"/>
      <c r="U517" s="2556"/>
      <c r="V517" s="2556"/>
      <c r="W517" s="2556"/>
      <c r="X517" s="2556"/>
      <c r="Y517" s="2556"/>
      <c r="Z517" s="2042"/>
      <c r="AA517" s="2043"/>
      <c r="AB517" s="2044"/>
      <c r="AC517" s="2045"/>
      <c r="AD517" s="2044"/>
      <c r="AE517" s="2045"/>
      <c r="AF517" s="2555"/>
      <c r="AG517" s="2551"/>
      <c r="AH517" s="2551"/>
      <c r="AI517" s="2555"/>
      <c r="AJ517" s="2551"/>
      <c r="AK517" s="2551"/>
      <c r="AL517" s="1989"/>
      <c r="AM517" s="1826"/>
      <c r="AN517" s="1826"/>
      <c r="AO517" s="1826"/>
      <c r="AP517" s="1826"/>
      <c r="AQ517" s="1826"/>
      <c r="AR517" s="1826"/>
      <c r="AS517" s="1826"/>
      <c r="AT517" s="1826"/>
      <c r="AU517" s="1826"/>
      <c r="AV517" s="1826"/>
      <c r="AW517" s="1826"/>
      <c r="AX517" s="1826"/>
      <c r="AY517" s="1826"/>
      <c r="AZ517" s="1826"/>
      <c r="BA517" s="1826"/>
      <c r="BB517" s="1826"/>
      <c r="BC517" s="1826"/>
      <c r="BD517" s="1826"/>
      <c r="BE517" s="1826"/>
      <c r="BF517" s="1826"/>
      <c r="BG517" s="1639"/>
    </row>
    <row customHeight="1" ht="0.75">
      <c r="A518" s="1170" t="s">
        <v>1260</v>
      </c>
      <c r="B518" s="1170"/>
      <c r="C518" s="1170"/>
      <c r="D518" s="1164"/>
      <c r="E518" s="1174"/>
      <c r="F518" s="2553"/>
      <c r="G518" s="2532"/>
      <c r="H518" s="2557"/>
      <c r="I518" s="2558"/>
      <c r="J518" s="2559"/>
      <c r="K518" s="2559"/>
      <c r="L518" s="2551"/>
      <c r="M518" s="2285"/>
      <c r="N518" s="2560"/>
      <c r="O518" s="2561"/>
      <c r="P518" s="2607"/>
      <c r="Q518" s="2556"/>
      <c r="R518" s="2556"/>
      <c r="S518" s="2556"/>
      <c r="T518" s="2556"/>
      <c r="U518" s="2556"/>
      <c r="V518" s="2556"/>
      <c r="W518" s="2556"/>
      <c r="X518" s="2556"/>
      <c r="Y518" s="2556"/>
      <c r="Z518" s="2038"/>
      <c r="AA518" s="2039"/>
      <c r="AB518" s="2046"/>
      <c r="AC518" s="2040"/>
      <c r="AD518" s="2040"/>
      <c r="AE518" s="2047"/>
      <c r="AF518" s="2555"/>
      <c r="AG518" s="2551"/>
      <c r="AH518" s="2551"/>
      <c r="AI518" s="2555"/>
      <c r="AJ518" s="2551"/>
      <c r="AK518" s="2551"/>
      <c r="AL518" s="1989"/>
      <c r="AM518" s="1826"/>
      <c r="AN518" s="1826"/>
      <c r="AO518" s="1826"/>
      <c r="AP518" s="1826"/>
      <c r="AQ518" s="1826"/>
      <c r="AR518" s="1826"/>
      <c r="AS518" s="1826"/>
      <c r="AT518" s="1826"/>
      <c r="AU518" s="1826"/>
      <c r="AV518" s="1826"/>
      <c r="AW518" s="1826"/>
      <c r="AX518" s="1826"/>
      <c r="AY518" s="1826"/>
      <c r="AZ518" s="1826"/>
      <c r="BA518" s="1826"/>
      <c r="BB518" s="1826"/>
      <c r="BC518" s="1826"/>
      <c r="BD518" s="1826"/>
      <c r="BE518" s="1826"/>
      <c r="BF518" s="1826"/>
      <c r="BG518" s="1639"/>
    </row>
    <row customHeight="1" ht="0.75">
      <c r="A519" s="1170" t="s">
        <v>1260</v>
      </c>
      <c r="B519" s="1170"/>
      <c r="C519" s="1170"/>
      <c r="D519" s="1164"/>
      <c r="E519" s="1174"/>
      <c r="F519" s="2553"/>
      <c r="G519" s="2532"/>
      <c r="H519" s="2557"/>
      <c r="I519" s="2558"/>
      <c r="J519" s="2559"/>
      <c r="K519" s="2559"/>
      <c r="L519" s="2551"/>
      <c r="M519" s="2285"/>
      <c r="N519" s="2039"/>
      <c r="O519" s="2039"/>
      <c r="P519" s="2046"/>
      <c r="Q519" s="2039"/>
      <c r="R519" s="2039"/>
      <c r="S519" s="2039"/>
      <c r="T519" s="2039"/>
      <c r="U519" s="2039"/>
      <c r="V519" s="2039"/>
      <c r="W519" s="2039"/>
      <c r="X519" s="2039"/>
      <c r="Y519" s="2039"/>
      <c r="Z519" s="2039"/>
      <c r="AA519" s="2039"/>
      <c r="AB519" s="2039"/>
      <c r="AC519" s="2039"/>
      <c r="AD519" s="2039"/>
      <c r="AE519" s="2048"/>
      <c r="AF519" s="2555"/>
      <c r="AG519" s="2551"/>
      <c r="AH519" s="2551"/>
      <c r="AI519" s="2555"/>
      <c r="AJ519" s="2551"/>
      <c r="AK519" s="2551"/>
      <c r="AL519" s="1989"/>
      <c r="AM519" s="1826"/>
      <c r="AN519" s="1826"/>
      <c r="AO519" s="1826"/>
      <c r="AP519" s="1826"/>
      <c r="AQ519" s="1826"/>
      <c r="AR519" s="1826"/>
      <c r="AS519" s="1826"/>
      <c r="AT519" s="1826"/>
      <c r="AU519" s="1826"/>
      <c r="AV519" s="1826"/>
      <c r="AW519" s="1826"/>
      <c r="AX519" s="1826"/>
      <c r="AY519" s="1826"/>
      <c r="AZ519" s="1826"/>
      <c r="BA519" s="1826"/>
      <c r="BB519" s="1826"/>
      <c r="BC519" s="1826"/>
      <c r="BD519" s="1826"/>
      <c r="BE519" s="1826"/>
      <c r="BF519" s="1826"/>
      <c r="BG519" s="1639"/>
    </row>
    <row customHeight="1" ht="12">
      <c r="A520" s="1170" t="s">
        <v>1260</v>
      </c>
      <c r="B520" s="1170"/>
      <c r="C520" s="1170"/>
      <c r="D520" s="1164"/>
      <c r="E520" s="1174"/>
      <c r="F520" s="2554"/>
      <c r="G520" s="1194"/>
      <c r="H520" s="1194"/>
      <c r="I520" s="2552" t="s">
        <v>1300</v>
      </c>
      <c r="J520" s="2552"/>
      <c r="K520" s="2552"/>
      <c r="L520" s="1177"/>
      <c r="M520" s="1177"/>
      <c r="N520" s="1178"/>
      <c r="O520" s="1178"/>
      <c r="P520" s="1178"/>
      <c r="Q520" s="1178"/>
      <c r="R520" s="1178"/>
      <c r="S520" s="1178"/>
      <c r="T520" s="1178"/>
      <c r="U520" s="1178"/>
      <c r="V520" s="1178"/>
      <c r="W520" s="1178"/>
      <c r="X520" s="1178"/>
      <c r="Y520" s="1178"/>
      <c r="Z520" s="1178"/>
      <c r="AA520" s="1178"/>
      <c r="AB520" s="1178"/>
      <c r="AC520" s="1178"/>
      <c r="AD520" s="1178"/>
      <c r="AE520" s="1178"/>
      <c r="AF520" s="1178"/>
      <c r="AG520" s="1177"/>
      <c r="AH520" s="1177"/>
      <c r="AI520" s="1178"/>
      <c r="AJ520" s="1177"/>
      <c r="AK520" s="1178"/>
      <c r="AL520" s="1989"/>
      <c r="AM520" s="1826"/>
      <c r="AN520" s="1826"/>
      <c r="AO520" s="1826"/>
      <c r="AP520" s="1826"/>
      <c r="AQ520" s="1826"/>
      <c r="AR520" s="1826"/>
      <c r="AS520" s="1826"/>
      <c r="AT520" s="1826"/>
      <c r="AU520" s="1826"/>
      <c r="AV520" s="1826"/>
      <c r="AW520" s="1826"/>
      <c r="AX520" s="1826"/>
      <c r="AY520" s="1826"/>
      <c r="AZ520" s="1826"/>
      <c r="BA520" s="1826"/>
      <c r="BB520" s="1826"/>
      <c r="BC520" s="1826"/>
      <c r="BD520" s="1826"/>
      <c r="BE520" s="1826"/>
      <c r="BF520" s="1826"/>
      <c r="BG520" s="1639"/>
    </row>
    <row customHeight="1" ht="21">
      <c r="A521" s="1171" t="s">
        <v>1269</v>
      </c>
      <c r="B521" s="1170"/>
      <c r="C521" s="1170"/>
      <c r="D521" s="1164"/>
      <c r="E521" s="1174" t="s">
        <v>22</v>
      </c>
      <c r="F521" s="1126" t="str">
        <f>INDEX(IP_MAIN_LIST_NAME_IP,MATCH(A521,IP_MAIN_LIST_IP_ID,0))&amp;" ("&amp;INDEX(IP_MAIN_START_DATE,MATCH(A521,IP_MAIN_LIST_IP_ID,0))&amp;"-"&amp;INDEX(IP_MAIN_END_DATE,MATCH(A521,IP_MAIN_LIST_IP_ID,0))&amp;")"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521" s="1127"/>
      <c r="H521" s="1127"/>
      <c r="I521" s="1189"/>
      <c r="J521" s="1189"/>
      <c r="K521" s="1190"/>
      <c r="L521" s="1190"/>
      <c r="M521" s="1190"/>
      <c r="N521" s="1191"/>
      <c r="O521" s="1191"/>
      <c r="P521" s="1191"/>
      <c r="Q521" s="1191"/>
      <c r="R521" s="1191"/>
      <c r="S521" s="1191"/>
      <c r="T521" s="1191"/>
      <c r="U521" s="1191"/>
      <c r="V521" s="1191"/>
      <c r="W521" s="1191"/>
      <c r="X521" s="1191"/>
      <c r="Y521" s="1191"/>
      <c r="Z521" s="1191"/>
      <c r="AA521" s="1191"/>
      <c r="AB521" s="1191"/>
      <c r="AC521" s="1191"/>
      <c r="AD521" s="1191"/>
      <c r="AE521" s="1192"/>
      <c r="AF521" s="1190"/>
      <c r="AG521" s="1190"/>
      <c r="AH521" s="1190"/>
      <c r="AI521" s="1190"/>
      <c r="AJ521" s="1190"/>
      <c r="AK521" s="1190"/>
      <c r="AL521" s="1989"/>
      <c r="AM521" s="1826"/>
      <c r="AN521" s="1826"/>
      <c r="AO521" s="1826"/>
      <c r="AP521" s="1826"/>
      <c r="AQ521" s="1826"/>
      <c r="AR521" s="1826"/>
      <c r="AS521" s="1826"/>
      <c r="AT521" s="1826"/>
      <c r="AU521" s="1826"/>
      <c r="AV521" s="1826"/>
      <c r="AW521" s="1826"/>
      <c r="AX521" s="1826"/>
      <c r="AY521" s="1826"/>
      <c r="AZ521" s="1826"/>
      <c r="BA521" s="1826"/>
      <c r="BB521" s="1826"/>
      <c r="BC521" s="1826"/>
      <c r="BD521" s="1826"/>
      <c r="BE521" s="1826"/>
      <c r="BF521" s="1826"/>
      <c r="BG521" s="1639"/>
    </row>
    <row customHeight="1" ht="0.75">
      <c r="A522" s="1170" t="s">
        <v>1269</v>
      </c>
      <c r="B522" s="1170"/>
      <c r="C522" s="1170"/>
      <c r="D522" s="1164"/>
      <c r="E522" s="1174"/>
      <c r="F522" s="2553">
        <v>2020</v>
      </c>
      <c r="G522" s="2532"/>
      <c r="H522" s="2557" t="s">
        <v>514</v>
      </c>
      <c r="I522" s="2558"/>
      <c r="J522" s="2559"/>
      <c r="K522" s="2559"/>
      <c r="L522" s="2551"/>
      <c r="M522" s="2285"/>
      <c r="N522" s="2037"/>
      <c r="O522" s="2036"/>
      <c r="P522" s="2037"/>
      <c r="Q522" s="2037"/>
      <c r="R522" s="2037"/>
      <c r="S522" s="2037"/>
      <c r="T522" s="2037"/>
      <c r="U522" s="2037"/>
      <c r="V522" s="2037"/>
      <c r="W522" s="2037"/>
      <c r="X522" s="2037"/>
      <c r="Y522" s="2037"/>
      <c r="Z522" s="2037"/>
      <c r="AA522" s="2037"/>
      <c r="AB522" s="2037"/>
      <c r="AC522" s="2037"/>
      <c r="AD522" s="2037"/>
      <c r="AE522" s="2037"/>
      <c r="AF522" s="2555"/>
      <c r="AG522" s="2551"/>
      <c r="AH522" s="2551"/>
      <c r="AI522" s="2555"/>
      <c r="AJ522" s="2551"/>
      <c r="AK522" s="2551"/>
      <c r="AL522" s="1989"/>
      <c r="AM522" s="1826"/>
      <c r="AN522" s="1826"/>
      <c r="AO522" s="1826"/>
      <c r="AP522" s="1826"/>
      <c r="AQ522" s="1826"/>
      <c r="AR522" s="1826"/>
      <c r="AS522" s="1826"/>
      <c r="AT522" s="1826"/>
      <c r="AU522" s="1826"/>
      <c r="AV522" s="1826"/>
      <c r="AW522" s="1826"/>
      <c r="AX522" s="1826"/>
      <c r="AY522" s="1826"/>
      <c r="AZ522" s="1826"/>
      <c r="BA522" s="1826"/>
      <c r="BB522" s="1826"/>
      <c r="BC522" s="1826"/>
      <c r="BD522" s="1826"/>
      <c r="BE522" s="1826"/>
      <c r="BF522" s="1826"/>
      <c r="BG522" s="1639"/>
    </row>
    <row customHeight="1" ht="0.75">
      <c r="A523" s="1170" t="s">
        <v>1269</v>
      </c>
      <c r="B523" s="1170"/>
      <c r="C523" s="1170"/>
      <c r="D523" s="1164"/>
      <c r="E523" s="1174"/>
      <c r="F523" s="2553"/>
      <c r="G523" s="2532"/>
      <c r="H523" s="2557"/>
      <c r="I523" s="2558"/>
      <c r="J523" s="2559"/>
      <c r="K523" s="2559"/>
      <c r="L523" s="2551"/>
      <c r="M523" s="2285"/>
      <c r="N523" s="2560"/>
      <c r="O523" s="2561"/>
      <c r="P523" s="2605"/>
      <c r="Q523" s="2556"/>
      <c r="R523" s="2556"/>
      <c r="S523" s="2556"/>
      <c r="T523" s="2556"/>
      <c r="U523" s="2556"/>
      <c r="V523" s="2556"/>
      <c r="W523" s="2556"/>
      <c r="X523" s="2556"/>
      <c r="Y523" s="2556"/>
      <c r="Z523" s="2038"/>
      <c r="AA523" s="2039"/>
      <c r="AB523" s="2039"/>
      <c r="AC523" s="2040"/>
      <c r="AD523" s="2040"/>
      <c r="AE523" s="2041"/>
      <c r="AF523" s="2555"/>
      <c r="AG523" s="2551"/>
      <c r="AH523" s="2551"/>
      <c r="AI523" s="2555"/>
      <c r="AJ523" s="2551"/>
      <c r="AK523" s="2551"/>
      <c r="AL523" s="1989"/>
      <c r="AM523" s="1826"/>
      <c r="AN523" s="1826"/>
      <c r="AO523" s="1826"/>
      <c r="AP523" s="1826"/>
      <c r="AQ523" s="1826"/>
      <c r="AR523" s="1826"/>
      <c r="AS523" s="1826"/>
      <c r="AT523" s="1826"/>
      <c r="AU523" s="1826"/>
      <c r="AV523" s="1826"/>
      <c r="AW523" s="1826"/>
      <c r="AX523" s="1826"/>
      <c r="AY523" s="1826"/>
      <c r="AZ523" s="1826"/>
      <c r="BA523" s="1826"/>
      <c r="BB523" s="1826"/>
      <c r="BC523" s="1826"/>
      <c r="BD523" s="1826"/>
      <c r="BE523" s="1826"/>
      <c r="BF523" s="1826"/>
      <c r="BG523" s="1639"/>
    </row>
    <row customHeight="1" ht="0.75">
      <c r="A524" s="1170" t="s">
        <v>1269</v>
      </c>
      <c r="B524" s="1170"/>
      <c r="C524" s="1170"/>
      <c r="D524" s="1164"/>
      <c r="E524" s="1174"/>
      <c r="F524" s="2553"/>
      <c r="G524" s="2532"/>
      <c r="H524" s="2557"/>
      <c r="I524" s="2558"/>
      <c r="J524" s="2559"/>
      <c r="K524" s="2559"/>
      <c r="L524" s="2551"/>
      <c r="M524" s="2285"/>
      <c r="N524" s="2560"/>
      <c r="O524" s="2561"/>
      <c r="P524" s="2606"/>
      <c r="Q524" s="2556"/>
      <c r="R524" s="2556"/>
      <c r="S524" s="2556"/>
      <c r="T524" s="2556"/>
      <c r="U524" s="2556"/>
      <c r="V524" s="2556"/>
      <c r="W524" s="2556"/>
      <c r="X524" s="2556"/>
      <c r="Y524" s="2556"/>
      <c r="Z524" s="2042"/>
      <c r="AA524" s="2043"/>
      <c r="AB524" s="2044"/>
      <c r="AC524" s="2045"/>
      <c r="AD524" s="2044"/>
      <c r="AE524" s="2045"/>
      <c r="AF524" s="2555"/>
      <c r="AG524" s="2551"/>
      <c r="AH524" s="2551"/>
      <c r="AI524" s="2555"/>
      <c r="AJ524" s="2551"/>
      <c r="AK524" s="2551"/>
      <c r="AL524" s="1989"/>
      <c r="AM524" s="1826"/>
      <c r="AN524" s="1826"/>
      <c r="AO524" s="1826"/>
      <c r="AP524" s="1826"/>
      <c r="AQ524" s="1826"/>
      <c r="AR524" s="1826"/>
      <c r="AS524" s="1826"/>
      <c r="AT524" s="1826"/>
      <c r="AU524" s="1826"/>
      <c r="AV524" s="1826"/>
      <c r="AW524" s="1826"/>
      <c r="AX524" s="1826"/>
      <c r="AY524" s="1826"/>
      <c r="AZ524" s="1826"/>
      <c r="BA524" s="1826"/>
      <c r="BB524" s="1826"/>
      <c r="BC524" s="1826"/>
      <c r="BD524" s="1826"/>
      <c r="BE524" s="1826"/>
      <c r="BF524" s="1826"/>
      <c r="BG524" s="1639"/>
    </row>
    <row customHeight="1" ht="0.75">
      <c r="A525" s="1170" t="s">
        <v>1269</v>
      </c>
      <c r="B525" s="1170"/>
      <c r="C525" s="1170"/>
      <c r="D525" s="1164"/>
      <c r="E525" s="1174"/>
      <c r="F525" s="2553"/>
      <c r="G525" s="2532"/>
      <c r="H525" s="2557"/>
      <c r="I525" s="2558"/>
      <c r="J525" s="2559"/>
      <c r="K525" s="2559"/>
      <c r="L525" s="2551"/>
      <c r="M525" s="2285"/>
      <c r="N525" s="2560"/>
      <c r="O525" s="2561"/>
      <c r="P525" s="2607"/>
      <c r="Q525" s="2556"/>
      <c r="R525" s="2556"/>
      <c r="S525" s="2556"/>
      <c r="T525" s="2556"/>
      <c r="U525" s="2556"/>
      <c r="V525" s="2556"/>
      <c r="W525" s="2556"/>
      <c r="X525" s="2556"/>
      <c r="Y525" s="2556"/>
      <c r="Z525" s="2038"/>
      <c r="AA525" s="2039"/>
      <c r="AB525" s="2046"/>
      <c r="AC525" s="2040"/>
      <c r="AD525" s="2040"/>
      <c r="AE525" s="2047"/>
      <c r="AF525" s="2555"/>
      <c r="AG525" s="2551"/>
      <c r="AH525" s="2551"/>
      <c r="AI525" s="2555"/>
      <c r="AJ525" s="2551"/>
      <c r="AK525" s="2551"/>
      <c r="AL525" s="1989"/>
      <c r="AM525" s="1826"/>
      <c r="AN525" s="1826"/>
      <c r="AO525" s="1826"/>
      <c r="AP525" s="1826"/>
      <c r="AQ525" s="1826"/>
      <c r="AR525" s="1826"/>
      <c r="AS525" s="1826"/>
      <c r="AT525" s="1826"/>
      <c r="AU525" s="1826"/>
      <c r="AV525" s="1826"/>
      <c r="AW525" s="1826"/>
      <c r="AX525" s="1826"/>
      <c r="AY525" s="1826"/>
      <c r="AZ525" s="1826"/>
      <c r="BA525" s="1826"/>
      <c r="BB525" s="1826"/>
      <c r="BC525" s="1826"/>
      <c r="BD525" s="1826"/>
      <c r="BE525" s="1826"/>
      <c r="BF525" s="1826"/>
      <c r="BG525" s="1639"/>
    </row>
    <row customHeight="1" ht="0.75">
      <c r="A526" s="1170" t="s">
        <v>1269</v>
      </c>
      <c r="B526" s="1170"/>
      <c r="C526" s="1170"/>
      <c r="D526" s="1164"/>
      <c r="E526" s="1174"/>
      <c r="F526" s="2553"/>
      <c r="G526" s="2532"/>
      <c r="H526" s="2557"/>
      <c r="I526" s="2558"/>
      <c r="J526" s="2559"/>
      <c r="K526" s="2559"/>
      <c r="L526" s="2551"/>
      <c r="M526" s="2285"/>
      <c r="N526" s="2039"/>
      <c r="O526" s="2039"/>
      <c r="P526" s="2046"/>
      <c r="Q526" s="2039"/>
      <c r="R526" s="2039"/>
      <c r="S526" s="2039"/>
      <c r="T526" s="2039"/>
      <c r="U526" s="2039"/>
      <c r="V526" s="2039"/>
      <c r="W526" s="2039"/>
      <c r="X526" s="2039"/>
      <c r="Y526" s="2039"/>
      <c r="Z526" s="2039"/>
      <c r="AA526" s="2039"/>
      <c r="AB526" s="2039"/>
      <c r="AC526" s="2039"/>
      <c r="AD526" s="2039"/>
      <c r="AE526" s="2048"/>
      <c r="AF526" s="2555"/>
      <c r="AG526" s="2551"/>
      <c r="AH526" s="2551"/>
      <c r="AI526" s="2555"/>
      <c r="AJ526" s="2551"/>
      <c r="AK526" s="2551"/>
      <c r="AL526" s="1989"/>
      <c r="AM526" s="1826"/>
      <c r="AN526" s="1826"/>
      <c r="AO526" s="1826"/>
      <c r="AP526" s="1826"/>
      <c r="AQ526" s="1826"/>
      <c r="AR526" s="1826"/>
      <c r="AS526" s="1826"/>
      <c r="AT526" s="1826"/>
      <c r="AU526" s="1826"/>
      <c r="AV526" s="1826"/>
      <c r="AW526" s="1826"/>
      <c r="AX526" s="1826"/>
      <c r="AY526" s="1826"/>
      <c r="AZ526" s="1826"/>
      <c r="BA526" s="1826"/>
      <c r="BB526" s="1826"/>
      <c r="BC526" s="1826"/>
      <c r="BD526" s="1826"/>
      <c r="BE526" s="1826"/>
      <c r="BF526" s="1826"/>
      <c r="BG526" s="1639"/>
    </row>
    <row customHeight="1" ht="12">
      <c r="A527" s="1170" t="s">
        <v>1269</v>
      </c>
      <c r="B527" s="1170"/>
      <c r="C527" s="1170"/>
      <c r="D527" s="1164"/>
      <c r="E527" s="1174"/>
      <c r="F527" s="2554"/>
      <c r="G527" s="1194"/>
      <c r="H527" s="1194"/>
      <c r="I527" s="2552" t="s">
        <v>1300</v>
      </c>
      <c r="J527" s="2552"/>
      <c r="K527" s="2552"/>
      <c r="L527" s="1177"/>
      <c r="M527" s="1177"/>
      <c r="N527" s="1178"/>
      <c r="O527" s="1178"/>
      <c r="P527" s="1178"/>
      <c r="Q527" s="1178"/>
      <c r="R527" s="1178"/>
      <c r="S527" s="1178"/>
      <c r="T527" s="1178"/>
      <c r="U527" s="1178"/>
      <c r="V527" s="1178"/>
      <c r="W527" s="1178"/>
      <c r="X527" s="1178"/>
      <c r="Y527" s="1178"/>
      <c r="Z527" s="1178"/>
      <c r="AA527" s="1178"/>
      <c r="AB527" s="1178"/>
      <c r="AC527" s="1178"/>
      <c r="AD527" s="1178"/>
      <c r="AE527" s="1178"/>
      <c r="AF527" s="1178"/>
      <c r="AG527" s="1177"/>
      <c r="AH527" s="1177"/>
      <c r="AI527" s="1178"/>
      <c r="AJ527" s="1177"/>
      <c r="AK527" s="1178"/>
      <c r="AL527" s="1989"/>
      <c r="AM527" s="1826"/>
      <c r="AN527" s="1826"/>
      <c r="AO527" s="1826"/>
      <c r="AP527" s="1826"/>
      <c r="AQ527" s="1826"/>
      <c r="AR527" s="1826"/>
      <c r="AS527" s="1826"/>
      <c r="AT527" s="1826"/>
      <c r="AU527" s="1826"/>
      <c r="AV527" s="1826"/>
      <c r="AW527" s="1826"/>
      <c r="AX527" s="1826"/>
      <c r="AY527" s="1826"/>
      <c r="AZ527" s="1826"/>
      <c r="BA527" s="1826"/>
      <c r="BB527" s="1826"/>
      <c r="BC527" s="1826"/>
      <c r="BD527" s="1826"/>
      <c r="BE527" s="1826"/>
      <c r="BF527" s="1826"/>
      <c r="BG527" s="1639"/>
    </row>
    <row customHeight="1" ht="0.75">
      <c r="A528" s="1170" t="s">
        <v>1269</v>
      </c>
      <c r="B528" s="1170"/>
      <c r="C528" s="1170"/>
      <c r="D528" s="1164"/>
      <c r="E528" s="1174"/>
      <c r="F528" s="2553">
        <v>2021</v>
      </c>
      <c r="G528" s="2532"/>
      <c r="H528" s="2557" t="s">
        <v>514</v>
      </c>
      <c r="I528" s="2558"/>
      <c r="J528" s="2559"/>
      <c r="K528" s="2559"/>
      <c r="L528" s="2551"/>
      <c r="M528" s="2285"/>
      <c r="N528" s="2037"/>
      <c r="O528" s="2036"/>
      <c r="P528" s="2037"/>
      <c r="Q528" s="2037"/>
      <c r="R528" s="2037"/>
      <c r="S528" s="2037"/>
      <c r="T528" s="2037"/>
      <c r="U528" s="2037"/>
      <c r="V528" s="2037"/>
      <c r="W528" s="2037"/>
      <c r="X528" s="2037"/>
      <c r="Y528" s="2037"/>
      <c r="Z528" s="2037"/>
      <c r="AA528" s="2037"/>
      <c r="AB528" s="2037"/>
      <c r="AC528" s="2037"/>
      <c r="AD528" s="2037"/>
      <c r="AE528" s="2037"/>
      <c r="AF528" s="2555"/>
      <c r="AG528" s="2551"/>
      <c r="AH528" s="2551"/>
      <c r="AI528" s="2555"/>
      <c r="AJ528" s="2551"/>
      <c r="AK528" s="2551"/>
      <c r="AL528" s="1989"/>
      <c r="AM528" s="1826"/>
      <c r="AN528" s="1826"/>
      <c r="AO528" s="1826"/>
      <c r="AP528" s="1826"/>
      <c r="AQ528" s="1826"/>
      <c r="AR528" s="1826"/>
      <c r="AS528" s="1826"/>
      <c r="AT528" s="1826"/>
      <c r="AU528" s="1826"/>
      <c r="AV528" s="1826"/>
      <c r="AW528" s="1826"/>
      <c r="AX528" s="1826"/>
      <c r="AY528" s="1826"/>
      <c r="AZ528" s="1826"/>
      <c r="BA528" s="1826"/>
      <c r="BB528" s="1826"/>
      <c r="BC528" s="1826"/>
      <c r="BD528" s="1826"/>
      <c r="BE528" s="1826"/>
      <c r="BF528" s="1826"/>
      <c r="BG528" s="1639"/>
    </row>
    <row customHeight="1" ht="0.75">
      <c r="A529" s="1170" t="s">
        <v>1269</v>
      </c>
      <c r="B529" s="1170"/>
      <c r="C529" s="1170"/>
      <c r="D529" s="1164"/>
      <c r="E529" s="1174"/>
      <c r="F529" s="2553"/>
      <c r="G529" s="2532"/>
      <c r="H529" s="2557"/>
      <c r="I529" s="2558"/>
      <c r="J529" s="2559"/>
      <c r="K529" s="2559"/>
      <c r="L529" s="2551"/>
      <c r="M529" s="2285"/>
      <c r="N529" s="2560"/>
      <c r="O529" s="2561"/>
      <c r="P529" s="2605"/>
      <c r="Q529" s="2556"/>
      <c r="R529" s="2556"/>
      <c r="S529" s="2556"/>
      <c r="T529" s="2556"/>
      <c r="U529" s="2556"/>
      <c r="V529" s="2556"/>
      <c r="W529" s="2556"/>
      <c r="X529" s="2556"/>
      <c r="Y529" s="2556"/>
      <c r="Z529" s="2038"/>
      <c r="AA529" s="2039"/>
      <c r="AB529" s="2039"/>
      <c r="AC529" s="2040"/>
      <c r="AD529" s="2040"/>
      <c r="AE529" s="2041"/>
      <c r="AF529" s="2555"/>
      <c r="AG529" s="2551"/>
      <c r="AH529" s="2551"/>
      <c r="AI529" s="2555"/>
      <c r="AJ529" s="2551"/>
      <c r="AK529" s="2551"/>
      <c r="AL529" s="1989"/>
      <c r="AM529" s="1826"/>
      <c r="AN529" s="1826"/>
      <c r="AO529" s="1826"/>
      <c r="AP529" s="1826"/>
      <c r="AQ529" s="1826"/>
      <c r="AR529" s="1826"/>
      <c r="AS529" s="1826"/>
      <c r="AT529" s="1826"/>
      <c r="AU529" s="1826"/>
      <c r="AV529" s="1826"/>
      <c r="AW529" s="1826"/>
      <c r="AX529" s="1826"/>
      <c r="AY529" s="1826"/>
      <c r="AZ529" s="1826"/>
      <c r="BA529" s="1826"/>
      <c r="BB529" s="1826"/>
      <c r="BC529" s="1826"/>
      <c r="BD529" s="1826"/>
      <c r="BE529" s="1826"/>
      <c r="BF529" s="1826"/>
      <c r="BG529" s="1639"/>
    </row>
    <row customHeight="1" ht="0.75">
      <c r="A530" s="1170" t="s">
        <v>1269</v>
      </c>
      <c r="B530" s="1170"/>
      <c r="C530" s="1170"/>
      <c r="D530" s="1164"/>
      <c r="E530" s="1174"/>
      <c r="F530" s="2553"/>
      <c r="G530" s="2532"/>
      <c r="H530" s="2557"/>
      <c r="I530" s="2558"/>
      <c r="J530" s="2559"/>
      <c r="K530" s="2559"/>
      <c r="L530" s="2551"/>
      <c r="M530" s="2285"/>
      <c r="N530" s="2560"/>
      <c r="O530" s="2561"/>
      <c r="P530" s="2606"/>
      <c r="Q530" s="2556"/>
      <c r="R530" s="2556"/>
      <c r="S530" s="2556"/>
      <c r="T530" s="2556"/>
      <c r="U530" s="2556"/>
      <c r="V530" s="2556"/>
      <c r="W530" s="2556"/>
      <c r="X530" s="2556"/>
      <c r="Y530" s="2556"/>
      <c r="Z530" s="2042"/>
      <c r="AA530" s="2043"/>
      <c r="AB530" s="2044"/>
      <c r="AC530" s="2045"/>
      <c r="AD530" s="2044"/>
      <c r="AE530" s="2045"/>
      <c r="AF530" s="2555"/>
      <c r="AG530" s="2551"/>
      <c r="AH530" s="2551"/>
      <c r="AI530" s="2555"/>
      <c r="AJ530" s="2551"/>
      <c r="AK530" s="2551"/>
      <c r="AL530" s="1989"/>
      <c r="AM530" s="1826"/>
      <c r="AN530" s="1826"/>
      <c r="AO530" s="1826"/>
      <c r="AP530" s="1826"/>
      <c r="AQ530" s="1826"/>
      <c r="AR530" s="1826"/>
      <c r="AS530" s="1826"/>
      <c r="AT530" s="1826"/>
      <c r="AU530" s="1826"/>
      <c r="AV530" s="1826"/>
      <c r="AW530" s="1826"/>
      <c r="AX530" s="1826"/>
      <c r="AY530" s="1826"/>
      <c r="AZ530" s="1826"/>
      <c r="BA530" s="1826"/>
      <c r="BB530" s="1826"/>
      <c r="BC530" s="1826"/>
      <c r="BD530" s="1826"/>
      <c r="BE530" s="1826"/>
      <c r="BF530" s="1826"/>
      <c r="BG530" s="1639"/>
    </row>
    <row customHeight="1" ht="0.75">
      <c r="A531" s="1170" t="s">
        <v>1269</v>
      </c>
      <c r="B531" s="1170"/>
      <c r="C531" s="1170"/>
      <c r="D531" s="1164"/>
      <c r="E531" s="1174"/>
      <c r="F531" s="2553"/>
      <c r="G531" s="2532"/>
      <c r="H531" s="2557"/>
      <c r="I531" s="2558"/>
      <c r="J531" s="2559"/>
      <c r="K531" s="2559"/>
      <c r="L531" s="2551"/>
      <c r="M531" s="2285"/>
      <c r="N531" s="2560"/>
      <c r="O531" s="2561"/>
      <c r="P531" s="2607"/>
      <c r="Q531" s="2556"/>
      <c r="R531" s="2556"/>
      <c r="S531" s="2556"/>
      <c r="T531" s="2556"/>
      <c r="U531" s="2556"/>
      <c r="V531" s="2556"/>
      <c r="W531" s="2556"/>
      <c r="X531" s="2556"/>
      <c r="Y531" s="2556"/>
      <c r="Z531" s="2038"/>
      <c r="AA531" s="2039"/>
      <c r="AB531" s="2046"/>
      <c r="AC531" s="2040"/>
      <c r="AD531" s="2040"/>
      <c r="AE531" s="2047"/>
      <c r="AF531" s="2555"/>
      <c r="AG531" s="2551"/>
      <c r="AH531" s="2551"/>
      <c r="AI531" s="2555"/>
      <c r="AJ531" s="2551"/>
      <c r="AK531" s="2551"/>
      <c r="AL531" s="1989"/>
      <c r="AM531" s="1826"/>
      <c r="AN531" s="1826"/>
      <c r="AO531" s="1826"/>
      <c r="AP531" s="1826"/>
      <c r="AQ531" s="1826"/>
      <c r="AR531" s="1826"/>
      <c r="AS531" s="1826"/>
      <c r="AT531" s="1826"/>
      <c r="AU531" s="1826"/>
      <c r="AV531" s="1826"/>
      <c r="AW531" s="1826"/>
      <c r="AX531" s="1826"/>
      <c r="AY531" s="1826"/>
      <c r="AZ531" s="1826"/>
      <c r="BA531" s="1826"/>
      <c r="BB531" s="1826"/>
      <c r="BC531" s="1826"/>
      <c r="BD531" s="1826"/>
      <c r="BE531" s="1826"/>
      <c r="BF531" s="1826"/>
      <c r="BG531" s="1639"/>
    </row>
    <row customHeight="1" ht="0.75">
      <c r="A532" s="1170" t="s">
        <v>1269</v>
      </c>
      <c r="B532" s="1170"/>
      <c r="C532" s="1170"/>
      <c r="D532" s="1164"/>
      <c r="E532" s="1174"/>
      <c r="F532" s="2553"/>
      <c r="G532" s="2532"/>
      <c r="H532" s="2557"/>
      <c r="I532" s="2558"/>
      <c r="J532" s="2559"/>
      <c r="K532" s="2559"/>
      <c r="L532" s="2551"/>
      <c r="M532" s="2285"/>
      <c r="N532" s="2039"/>
      <c r="O532" s="2039"/>
      <c r="P532" s="2046"/>
      <c r="Q532" s="2039"/>
      <c r="R532" s="2039"/>
      <c r="S532" s="2039"/>
      <c r="T532" s="2039"/>
      <c r="U532" s="2039"/>
      <c r="V532" s="2039"/>
      <c r="W532" s="2039"/>
      <c r="X532" s="2039"/>
      <c r="Y532" s="2039"/>
      <c r="Z532" s="2039"/>
      <c r="AA532" s="2039"/>
      <c r="AB532" s="2039"/>
      <c r="AC532" s="2039"/>
      <c r="AD532" s="2039"/>
      <c r="AE532" s="2048"/>
      <c r="AF532" s="2555"/>
      <c r="AG532" s="2551"/>
      <c r="AH532" s="2551"/>
      <c r="AI532" s="2555"/>
      <c r="AJ532" s="2551"/>
      <c r="AK532" s="2551"/>
      <c r="AL532" s="1989"/>
      <c r="AM532" s="1826"/>
      <c r="AN532" s="1826"/>
      <c r="AO532" s="1826"/>
      <c r="AP532" s="1826"/>
      <c r="AQ532" s="1826"/>
      <c r="AR532" s="1826"/>
      <c r="AS532" s="1826"/>
      <c r="AT532" s="1826"/>
      <c r="AU532" s="1826"/>
      <c r="AV532" s="1826"/>
      <c r="AW532" s="1826"/>
      <c r="AX532" s="1826"/>
      <c r="AY532" s="1826"/>
      <c r="AZ532" s="1826"/>
      <c r="BA532" s="1826"/>
      <c r="BB532" s="1826"/>
      <c r="BC532" s="1826"/>
      <c r="BD532" s="1826"/>
      <c r="BE532" s="1826"/>
      <c r="BF532" s="1826"/>
      <c r="BG532" s="1639"/>
    </row>
    <row customHeight="1" ht="12">
      <c r="A533" s="1170" t="s">
        <v>1269</v>
      </c>
      <c r="B533" s="1170"/>
      <c r="C533" s="1170"/>
      <c r="D533" s="1164"/>
      <c r="E533" s="1174"/>
      <c r="F533" s="2554"/>
      <c r="G533" s="1194"/>
      <c r="H533" s="1194"/>
      <c r="I533" s="2552" t="s">
        <v>1300</v>
      </c>
      <c r="J533" s="2552"/>
      <c r="K533" s="2552"/>
      <c r="L533" s="1177"/>
      <c r="M533" s="1177"/>
      <c r="N533" s="1178"/>
      <c r="O533" s="1178"/>
      <c r="P533" s="1178"/>
      <c r="Q533" s="1178"/>
      <c r="R533" s="1178"/>
      <c r="S533" s="1178"/>
      <c r="T533" s="1178"/>
      <c r="U533" s="1178"/>
      <c r="V533" s="1178"/>
      <c r="W533" s="1178"/>
      <c r="X533" s="1178"/>
      <c r="Y533" s="1178"/>
      <c r="Z533" s="1178"/>
      <c r="AA533" s="1178"/>
      <c r="AB533" s="1178"/>
      <c r="AC533" s="1178"/>
      <c r="AD533" s="1178"/>
      <c r="AE533" s="1178"/>
      <c r="AF533" s="1178"/>
      <c r="AG533" s="1177"/>
      <c r="AH533" s="1177"/>
      <c r="AI533" s="1178"/>
      <c r="AJ533" s="1177"/>
      <c r="AK533" s="1178"/>
      <c r="AL533" s="1989"/>
      <c r="AM533" s="1826"/>
      <c r="AN533" s="1826"/>
      <c r="AO533" s="1826"/>
      <c r="AP533" s="1826"/>
      <c r="AQ533" s="1826"/>
      <c r="AR533" s="1826"/>
      <c r="AS533" s="1826"/>
      <c r="AT533" s="1826"/>
      <c r="AU533" s="1826"/>
      <c r="AV533" s="1826"/>
      <c r="AW533" s="1826"/>
      <c r="AX533" s="1826"/>
      <c r="AY533" s="1826"/>
      <c r="AZ533" s="1826"/>
      <c r="BA533" s="1826"/>
      <c r="BB533" s="1826"/>
      <c r="BC533" s="1826"/>
      <c r="BD533" s="1826"/>
      <c r="BE533" s="1826"/>
      <c r="BF533" s="1826"/>
      <c r="BG533" s="1639"/>
    </row>
    <row customHeight="1" ht="0.75">
      <c r="A534" s="1170" t="s">
        <v>1269</v>
      </c>
      <c r="B534" s="1170"/>
      <c r="C534" s="1170"/>
      <c r="D534" s="1164"/>
      <c r="E534" s="1174"/>
      <c r="F534" s="2553">
        <v>2022</v>
      </c>
      <c r="G534" s="2532"/>
      <c r="H534" s="2557" t="s">
        <v>514</v>
      </c>
      <c r="I534" s="2558"/>
      <c r="J534" s="2559"/>
      <c r="K534" s="2559"/>
      <c r="L534" s="2551"/>
      <c r="M534" s="2285"/>
      <c r="N534" s="2037"/>
      <c r="O534" s="2036"/>
      <c r="P534" s="2037"/>
      <c r="Q534" s="2037"/>
      <c r="R534" s="2037"/>
      <c r="S534" s="2037"/>
      <c r="T534" s="2037"/>
      <c r="U534" s="2037"/>
      <c r="V534" s="2037"/>
      <c r="W534" s="2037"/>
      <c r="X534" s="2037"/>
      <c r="Y534" s="2037"/>
      <c r="Z534" s="2037"/>
      <c r="AA534" s="2037"/>
      <c r="AB534" s="2037"/>
      <c r="AC534" s="2037"/>
      <c r="AD534" s="2037"/>
      <c r="AE534" s="2037"/>
      <c r="AF534" s="2555"/>
      <c r="AG534" s="2551"/>
      <c r="AH534" s="2551"/>
      <c r="AI534" s="2555"/>
      <c r="AJ534" s="2551"/>
      <c r="AK534" s="2551"/>
      <c r="AL534" s="1989"/>
      <c r="AM534" s="1826"/>
      <c r="AN534" s="1826"/>
      <c r="AO534" s="1826"/>
      <c r="AP534" s="1826"/>
      <c r="AQ534" s="1826"/>
      <c r="AR534" s="1826"/>
      <c r="AS534" s="1826"/>
      <c r="AT534" s="1826"/>
      <c r="AU534" s="1826"/>
      <c r="AV534" s="1826"/>
      <c r="AW534" s="1826"/>
      <c r="AX534" s="1826"/>
      <c r="AY534" s="1826"/>
      <c r="AZ534" s="1826"/>
      <c r="BA534" s="1826"/>
      <c r="BB534" s="1826"/>
      <c r="BC534" s="1826"/>
      <c r="BD534" s="1826"/>
      <c r="BE534" s="1826"/>
      <c r="BF534" s="1826"/>
      <c r="BG534" s="1639"/>
    </row>
    <row customHeight="1" ht="0.75">
      <c r="A535" s="1170" t="s">
        <v>1269</v>
      </c>
      <c r="B535" s="1170"/>
      <c r="C535" s="1170"/>
      <c r="D535" s="1164"/>
      <c r="E535" s="1174"/>
      <c r="F535" s="2553"/>
      <c r="G535" s="2532"/>
      <c r="H535" s="2557"/>
      <c r="I535" s="2558"/>
      <c r="J535" s="2559"/>
      <c r="K535" s="2559"/>
      <c r="L535" s="2551"/>
      <c r="M535" s="2285"/>
      <c r="N535" s="2560"/>
      <c r="O535" s="2561"/>
      <c r="P535" s="2605"/>
      <c r="Q535" s="2556"/>
      <c r="R535" s="2556"/>
      <c r="S535" s="2556"/>
      <c r="T535" s="2556"/>
      <c r="U535" s="2556"/>
      <c r="V535" s="2556"/>
      <c r="W535" s="2556"/>
      <c r="X535" s="2556"/>
      <c r="Y535" s="2556"/>
      <c r="Z535" s="2038"/>
      <c r="AA535" s="2039"/>
      <c r="AB535" s="2039"/>
      <c r="AC535" s="2040"/>
      <c r="AD535" s="2040"/>
      <c r="AE535" s="2041"/>
      <c r="AF535" s="2555"/>
      <c r="AG535" s="2551"/>
      <c r="AH535" s="2551"/>
      <c r="AI535" s="2555"/>
      <c r="AJ535" s="2551"/>
      <c r="AK535" s="2551"/>
      <c r="AL535" s="1989"/>
      <c r="AM535" s="1826"/>
      <c r="AN535" s="1826"/>
      <c r="AO535" s="1826"/>
      <c r="AP535" s="1826"/>
      <c r="AQ535" s="1826"/>
      <c r="AR535" s="1826"/>
      <c r="AS535" s="1826"/>
      <c r="AT535" s="1826"/>
      <c r="AU535" s="1826"/>
      <c r="AV535" s="1826"/>
      <c r="AW535" s="1826"/>
      <c r="AX535" s="1826"/>
      <c r="AY535" s="1826"/>
      <c r="AZ535" s="1826"/>
      <c r="BA535" s="1826"/>
      <c r="BB535" s="1826"/>
      <c r="BC535" s="1826"/>
      <c r="BD535" s="1826"/>
      <c r="BE535" s="1826"/>
      <c r="BF535" s="1826"/>
      <c r="BG535" s="1639"/>
    </row>
    <row customHeight="1" ht="0.75">
      <c r="A536" s="1170" t="s">
        <v>1269</v>
      </c>
      <c r="B536" s="1170"/>
      <c r="C536" s="1170"/>
      <c r="D536" s="1164"/>
      <c r="E536" s="1174"/>
      <c r="F536" s="2553"/>
      <c r="G536" s="2532"/>
      <c r="H536" s="2557"/>
      <c r="I536" s="2558"/>
      <c r="J536" s="2559"/>
      <c r="K536" s="2559"/>
      <c r="L536" s="2551"/>
      <c r="M536" s="2285"/>
      <c r="N536" s="2560"/>
      <c r="O536" s="2561"/>
      <c r="P536" s="2606"/>
      <c r="Q536" s="2556"/>
      <c r="R536" s="2556"/>
      <c r="S536" s="2556"/>
      <c r="T536" s="2556"/>
      <c r="U536" s="2556"/>
      <c r="V536" s="2556"/>
      <c r="W536" s="2556"/>
      <c r="X536" s="2556"/>
      <c r="Y536" s="2556"/>
      <c r="Z536" s="2042"/>
      <c r="AA536" s="2043"/>
      <c r="AB536" s="2044"/>
      <c r="AC536" s="2045"/>
      <c r="AD536" s="2044"/>
      <c r="AE536" s="2045"/>
      <c r="AF536" s="2555"/>
      <c r="AG536" s="2551"/>
      <c r="AH536" s="2551"/>
      <c r="AI536" s="2555"/>
      <c r="AJ536" s="2551"/>
      <c r="AK536" s="2551"/>
      <c r="AL536" s="1989"/>
      <c r="AM536" s="1826"/>
      <c r="AN536" s="1826"/>
      <c r="AO536" s="1826"/>
      <c r="AP536" s="1826"/>
      <c r="AQ536" s="1826"/>
      <c r="AR536" s="1826"/>
      <c r="AS536" s="1826"/>
      <c r="AT536" s="1826"/>
      <c r="AU536" s="1826"/>
      <c r="AV536" s="1826"/>
      <c r="AW536" s="1826"/>
      <c r="AX536" s="1826"/>
      <c r="AY536" s="1826"/>
      <c r="AZ536" s="1826"/>
      <c r="BA536" s="1826"/>
      <c r="BB536" s="1826"/>
      <c r="BC536" s="1826"/>
      <c r="BD536" s="1826"/>
      <c r="BE536" s="1826"/>
      <c r="BF536" s="1826"/>
      <c r="BG536" s="1639"/>
    </row>
    <row customHeight="1" ht="0.75">
      <c r="A537" s="1170" t="s">
        <v>1269</v>
      </c>
      <c r="B537" s="1170"/>
      <c r="C537" s="1170"/>
      <c r="D537" s="1164"/>
      <c r="E537" s="1174"/>
      <c r="F537" s="2553"/>
      <c r="G537" s="2532"/>
      <c r="H537" s="2557"/>
      <c r="I537" s="2558"/>
      <c r="J537" s="2559"/>
      <c r="K537" s="2559"/>
      <c r="L537" s="2551"/>
      <c r="M537" s="2285"/>
      <c r="N537" s="2560"/>
      <c r="O537" s="2561"/>
      <c r="P537" s="2607"/>
      <c r="Q537" s="2556"/>
      <c r="R537" s="2556"/>
      <c r="S537" s="2556"/>
      <c r="T537" s="2556"/>
      <c r="U537" s="2556"/>
      <c r="V537" s="2556"/>
      <c r="W537" s="2556"/>
      <c r="X537" s="2556"/>
      <c r="Y537" s="2556"/>
      <c r="Z537" s="2038"/>
      <c r="AA537" s="2039"/>
      <c r="AB537" s="2046"/>
      <c r="AC537" s="2040"/>
      <c r="AD537" s="2040"/>
      <c r="AE537" s="2047"/>
      <c r="AF537" s="2555"/>
      <c r="AG537" s="2551"/>
      <c r="AH537" s="2551"/>
      <c r="AI537" s="2555"/>
      <c r="AJ537" s="2551"/>
      <c r="AK537" s="2551"/>
      <c r="AL537" s="1989"/>
      <c r="AM537" s="1826"/>
      <c r="AN537" s="1826"/>
      <c r="AO537" s="1826"/>
      <c r="AP537" s="1826"/>
      <c r="AQ537" s="1826"/>
      <c r="AR537" s="1826"/>
      <c r="AS537" s="1826"/>
      <c r="AT537" s="1826"/>
      <c r="AU537" s="1826"/>
      <c r="AV537" s="1826"/>
      <c r="AW537" s="1826"/>
      <c r="AX537" s="1826"/>
      <c r="AY537" s="1826"/>
      <c r="AZ537" s="1826"/>
      <c r="BA537" s="1826"/>
      <c r="BB537" s="1826"/>
      <c r="BC537" s="1826"/>
      <c r="BD537" s="1826"/>
      <c r="BE537" s="1826"/>
      <c r="BF537" s="1826"/>
      <c r="BG537" s="1639"/>
    </row>
    <row customHeight="1" ht="0.75">
      <c r="A538" s="1170" t="s">
        <v>1269</v>
      </c>
      <c r="B538" s="1170"/>
      <c r="C538" s="1170"/>
      <c r="D538" s="1164"/>
      <c r="E538" s="1174"/>
      <c r="F538" s="2553"/>
      <c r="G538" s="2532"/>
      <c r="H538" s="2557"/>
      <c r="I538" s="2558"/>
      <c r="J538" s="2559"/>
      <c r="K538" s="2559"/>
      <c r="L538" s="2551"/>
      <c r="M538" s="2285"/>
      <c r="N538" s="2039"/>
      <c r="O538" s="2039"/>
      <c r="P538" s="2046"/>
      <c r="Q538" s="2039"/>
      <c r="R538" s="2039"/>
      <c r="S538" s="2039"/>
      <c r="T538" s="2039"/>
      <c r="U538" s="2039"/>
      <c r="V538" s="2039"/>
      <c r="W538" s="2039"/>
      <c r="X538" s="2039"/>
      <c r="Y538" s="2039"/>
      <c r="Z538" s="2039"/>
      <c r="AA538" s="2039"/>
      <c r="AB538" s="2039"/>
      <c r="AC538" s="2039"/>
      <c r="AD538" s="2039"/>
      <c r="AE538" s="2048"/>
      <c r="AF538" s="2555"/>
      <c r="AG538" s="2551"/>
      <c r="AH538" s="2551"/>
      <c r="AI538" s="2555"/>
      <c r="AJ538" s="2551"/>
      <c r="AK538" s="2551"/>
      <c r="AL538" s="1989"/>
      <c r="AM538" s="1826"/>
      <c r="AN538" s="1826"/>
      <c r="AO538" s="1826"/>
      <c r="AP538" s="1826"/>
      <c r="AQ538" s="1826"/>
      <c r="AR538" s="1826"/>
      <c r="AS538" s="1826"/>
      <c r="AT538" s="1826"/>
      <c r="AU538" s="1826"/>
      <c r="AV538" s="1826"/>
      <c r="AW538" s="1826"/>
      <c r="AX538" s="1826"/>
      <c r="AY538" s="1826"/>
      <c r="AZ538" s="1826"/>
      <c r="BA538" s="1826"/>
      <c r="BB538" s="1826"/>
      <c r="BC538" s="1826"/>
      <c r="BD538" s="1826"/>
      <c r="BE538" s="1826"/>
      <c r="BF538" s="1826"/>
      <c r="BG538" s="1639"/>
    </row>
    <row customHeight="1" ht="12">
      <c r="A539" s="1170" t="s">
        <v>1269</v>
      </c>
      <c r="B539" s="1170"/>
      <c r="C539" s="1170"/>
      <c r="D539" s="1164"/>
      <c r="E539" s="1174"/>
      <c r="F539" s="2554"/>
      <c r="G539" s="1194"/>
      <c r="H539" s="1194"/>
      <c r="I539" s="2552" t="s">
        <v>1300</v>
      </c>
      <c r="J539" s="2552"/>
      <c r="K539" s="2552"/>
      <c r="L539" s="1177"/>
      <c r="M539" s="1177"/>
      <c r="N539" s="1178"/>
      <c r="O539" s="1178"/>
      <c r="P539" s="1178"/>
      <c r="Q539" s="1178"/>
      <c r="R539" s="1178"/>
      <c r="S539" s="1178"/>
      <c r="T539" s="1178"/>
      <c r="U539" s="1178"/>
      <c r="V539" s="1178"/>
      <c r="W539" s="1178"/>
      <c r="X539" s="1178"/>
      <c r="Y539" s="1178"/>
      <c r="Z539" s="1178"/>
      <c r="AA539" s="1178"/>
      <c r="AB539" s="1178"/>
      <c r="AC539" s="1178"/>
      <c r="AD539" s="1178"/>
      <c r="AE539" s="1178"/>
      <c r="AF539" s="1178"/>
      <c r="AG539" s="1177"/>
      <c r="AH539" s="1177"/>
      <c r="AI539" s="1178"/>
      <c r="AJ539" s="1177"/>
      <c r="AK539" s="1178"/>
      <c r="AL539" s="1989"/>
      <c r="AM539" s="1826"/>
      <c r="AN539" s="1826"/>
      <c r="AO539" s="1826"/>
      <c r="AP539" s="1826"/>
      <c r="AQ539" s="1826"/>
      <c r="AR539" s="1826"/>
      <c r="AS539" s="1826"/>
      <c r="AT539" s="1826"/>
      <c r="AU539" s="1826"/>
      <c r="AV539" s="1826"/>
      <c r="AW539" s="1826"/>
      <c r="AX539" s="1826"/>
      <c r="AY539" s="1826"/>
      <c r="AZ539" s="1826"/>
      <c r="BA539" s="1826"/>
      <c r="BB539" s="1826"/>
      <c r="BC539" s="1826"/>
      <c r="BD539" s="1826"/>
      <c r="BE539" s="1826"/>
      <c r="BF539" s="1826"/>
      <c r="BG539" s="1639"/>
    </row>
    <row customHeight="1" ht="0.75">
      <c r="A540" s="1170" t="s">
        <v>1269</v>
      </c>
      <c r="B540" s="1170"/>
      <c r="C540" s="1170"/>
      <c r="D540" s="1164"/>
      <c r="E540" s="1174"/>
      <c r="F540" s="2553">
        <v>2023</v>
      </c>
      <c r="G540" s="2532"/>
      <c r="H540" s="2557" t="s">
        <v>514</v>
      </c>
      <c r="I540" s="2558"/>
      <c r="J540" s="2559"/>
      <c r="K540" s="2559"/>
      <c r="L540" s="2551"/>
      <c r="M540" s="2285"/>
      <c r="N540" s="2037"/>
      <c r="O540" s="2036"/>
      <c r="P540" s="2037"/>
      <c r="Q540" s="2037"/>
      <c r="R540" s="2037"/>
      <c r="S540" s="2037"/>
      <c r="T540" s="2037"/>
      <c r="U540" s="2037"/>
      <c r="V540" s="2037"/>
      <c r="W540" s="2037"/>
      <c r="X540" s="2037"/>
      <c r="Y540" s="2037"/>
      <c r="Z540" s="2037"/>
      <c r="AA540" s="2037"/>
      <c r="AB540" s="2037"/>
      <c r="AC540" s="2037"/>
      <c r="AD540" s="2037"/>
      <c r="AE540" s="2037"/>
      <c r="AF540" s="2555"/>
      <c r="AG540" s="2551"/>
      <c r="AH540" s="2551"/>
      <c r="AI540" s="2555"/>
      <c r="AJ540" s="2551"/>
      <c r="AK540" s="2551"/>
      <c r="AL540" s="1989"/>
      <c r="AM540" s="1826"/>
      <c r="AN540" s="1826"/>
      <c r="AO540" s="1826"/>
      <c r="AP540" s="1826"/>
      <c r="AQ540" s="1826"/>
      <c r="AR540" s="1826"/>
      <c r="AS540" s="1826"/>
      <c r="AT540" s="1826"/>
      <c r="AU540" s="1826"/>
      <c r="AV540" s="1826"/>
      <c r="AW540" s="1826"/>
      <c r="AX540" s="1826"/>
      <c r="AY540" s="1826"/>
      <c r="AZ540" s="1826"/>
      <c r="BA540" s="1826"/>
      <c r="BB540" s="1826"/>
      <c r="BC540" s="1826"/>
      <c r="BD540" s="1826"/>
      <c r="BE540" s="1826"/>
      <c r="BF540" s="1826"/>
      <c r="BG540" s="1639"/>
    </row>
    <row customHeight="1" ht="0.75">
      <c r="A541" s="1170" t="s">
        <v>1269</v>
      </c>
      <c r="B541" s="1170"/>
      <c r="C541" s="1170"/>
      <c r="D541" s="1164"/>
      <c r="E541" s="1174"/>
      <c r="F541" s="2553"/>
      <c r="G541" s="2532"/>
      <c r="H541" s="2557"/>
      <c r="I541" s="2558"/>
      <c r="J541" s="2559"/>
      <c r="K541" s="2559"/>
      <c r="L541" s="2551"/>
      <c r="M541" s="2285"/>
      <c r="N541" s="2560"/>
      <c r="O541" s="2561"/>
      <c r="P541" s="2605"/>
      <c r="Q541" s="2556"/>
      <c r="R541" s="2556"/>
      <c r="S541" s="2556"/>
      <c r="T541" s="2556"/>
      <c r="U541" s="2556"/>
      <c r="V541" s="2556"/>
      <c r="W541" s="2556"/>
      <c r="X541" s="2556"/>
      <c r="Y541" s="2556"/>
      <c r="Z541" s="2038"/>
      <c r="AA541" s="2039"/>
      <c r="AB541" s="2039"/>
      <c r="AC541" s="2040"/>
      <c r="AD541" s="2040"/>
      <c r="AE541" s="2041"/>
      <c r="AF541" s="2555"/>
      <c r="AG541" s="2551"/>
      <c r="AH541" s="2551"/>
      <c r="AI541" s="2555"/>
      <c r="AJ541" s="2551"/>
      <c r="AK541" s="2551"/>
      <c r="AL541" s="1989"/>
      <c r="AM541" s="1826"/>
      <c r="AN541" s="1826"/>
      <c r="AO541" s="1826"/>
      <c r="AP541" s="1826"/>
      <c r="AQ541" s="1826"/>
      <c r="AR541" s="1826"/>
      <c r="AS541" s="1826"/>
      <c r="AT541" s="1826"/>
      <c r="AU541" s="1826"/>
      <c r="AV541" s="1826"/>
      <c r="AW541" s="1826"/>
      <c r="AX541" s="1826"/>
      <c r="AY541" s="1826"/>
      <c r="AZ541" s="1826"/>
      <c r="BA541" s="1826"/>
      <c r="BB541" s="1826"/>
      <c r="BC541" s="1826"/>
      <c r="BD541" s="1826"/>
      <c r="BE541" s="1826"/>
      <c r="BF541" s="1826"/>
      <c r="BG541" s="1639"/>
    </row>
    <row customHeight="1" ht="0.75">
      <c r="A542" s="1170" t="s">
        <v>1269</v>
      </c>
      <c r="B542" s="1170"/>
      <c r="C542" s="1170"/>
      <c r="D542" s="1164"/>
      <c r="E542" s="1174"/>
      <c r="F542" s="2553"/>
      <c r="G542" s="2532"/>
      <c r="H542" s="2557"/>
      <c r="I542" s="2558"/>
      <c r="J542" s="2559"/>
      <c r="K542" s="2559"/>
      <c r="L542" s="2551"/>
      <c r="M542" s="2285"/>
      <c r="N542" s="2560"/>
      <c r="O542" s="2561"/>
      <c r="P542" s="2606"/>
      <c r="Q542" s="2556"/>
      <c r="R542" s="2556"/>
      <c r="S542" s="2556"/>
      <c r="T542" s="2556"/>
      <c r="U542" s="2556"/>
      <c r="V542" s="2556"/>
      <c r="W542" s="2556"/>
      <c r="X542" s="2556"/>
      <c r="Y542" s="2556"/>
      <c r="Z542" s="2042"/>
      <c r="AA542" s="2043"/>
      <c r="AB542" s="2044"/>
      <c r="AC542" s="2045"/>
      <c r="AD542" s="2044"/>
      <c r="AE542" s="2045"/>
      <c r="AF542" s="2555"/>
      <c r="AG542" s="2551"/>
      <c r="AH542" s="2551"/>
      <c r="AI542" s="2555"/>
      <c r="AJ542" s="2551"/>
      <c r="AK542" s="2551"/>
      <c r="AL542" s="1989"/>
      <c r="AM542" s="1826"/>
      <c r="AN542" s="1826"/>
      <c r="AO542" s="1826"/>
      <c r="AP542" s="1826"/>
      <c r="AQ542" s="1826"/>
      <c r="AR542" s="1826"/>
      <c r="AS542" s="1826"/>
      <c r="AT542" s="1826"/>
      <c r="AU542" s="1826"/>
      <c r="AV542" s="1826"/>
      <c r="AW542" s="1826"/>
      <c r="AX542" s="1826"/>
      <c r="AY542" s="1826"/>
      <c r="AZ542" s="1826"/>
      <c r="BA542" s="1826"/>
      <c r="BB542" s="1826"/>
      <c r="BC542" s="1826"/>
      <c r="BD542" s="1826"/>
      <c r="BE542" s="1826"/>
      <c r="BF542" s="1826"/>
      <c r="BG542" s="1639"/>
    </row>
    <row customHeight="1" ht="0.75">
      <c r="A543" s="1170" t="s">
        <v>1269</v>
      </c>
      <c r="B543" s="1170"/>
      <c r="C543" s="1170"/>
      <c r="D543" s="1164"/>
      <c r="E543" s="1174"/>
      <c r="F543" s="2553"/>
      <c r="G543" s="2532"/>
      <c r="H543" s="2557"/>
      <c r="I543" s="2558"/>
      <c r="J543" s="2559"/>
      <c r="K543" s="2559"/>
      <c r="L543" s="2551"/>
      <c r="M543" s="2285"/>
      <c r="N543" s="2560"/>
      <c r="O543" s="2561"/>
      <c r="P543" s="2607"/>
      <c r="Q543" s="2556"/>
      <c r="R543" s="2556"/>
      <c r="S543" s="2556"/>
      <c r="T543" s="2556"/>
      <c r="U543" s="2556"/>
      <c r="V543" s="2556"/>
      <c r="W543" s="2556"/>
      <c r="X543" s="2556"/>
      <c r="Y543" s="2556"/>
      <c r="Z543" s="2038"/>
      <c r="AA543" s="2039"/>
      <c r="AB543" s="2046"/>
      <c r="AC543" s="2040"/>
      <c r="AD543" s="2040"/>
      <c r="AE543" s="2047"/>
      <c r="AF543" s="2555"/>
      <c r="AG543" s="2551"/>
      <c r="AH543" s="2551"/>
      <c r="AI543" s="2555"/>
      <c r="AJ543" s="2551"/>
      <c r="AK543" s="2551"/>
      <c r="AL543" s="1989"/>
      <c r="AM543" s="1826"/>
      <c r="AN543" s="1826"/>
      <c r="AO543" s="1826"/>
      <c r="AP543" s="1826"/>
      <c r="AQ543" s="1826"/>
      <c r="AR543" s="1826"/>
      <c r="AS543" s="1826"/>
      <c r="AT543" s="1826"/>
      <c r="AU543" s="1826"/>
      <c r="AV543" s="1826"/>
      <c r="AW543" s="1826"/>
      <c r="AX543" s="1826"/>
      <c r="AY543" s="1826"/>
      <c r="AZ543" s="1826"/>
      <c r="BA543" s="1826"/>
      <c r="BB543" s="1826"/>
      <c r="BC543" s="1826"/>
      <c r="BD543" s="1826"/>
      <c r="BE543" s="1826"/>
      <c r="BF543" s="1826"/>
      <c r="BG543" s="1639"/>
    </row>
    <row customHeight="1" ht="0.75">
      <c r="A544" s="1170" t="s">
        <v>1269</v>
      </c>
      <c r="B544" s="1170"/>
      <c r="C544" s="1170"/>
      <c r="D544" s="1164"/>
      <c r="E544" s="1174"/>
      <c r="F544" s="2553"/>
      <c r="G544" s="2532"/>
      <c r="H544" s="2557"/>
      <c r="I544" s="2558"/>
      <c r="J544" s="2559"/>
      <c r="K544" s="2559"/>
      <c r="L544" s="2551"/>
      <c r="M544" s="2285"/>
      <c r="N544" s="2039"/>
      <c r="O544" s="2039"/>
      <c r="P544" s="2046"/>
      <c r="Q544" s="2039"/>
      <c r="R544" s="2039"/>
      <c r="S544" s="2039"/>
      <c r="T544" s="2039"/>
      <c r="U544" s="2039"/>
      <c r="V544" s="2039"/>
      <c r="W544" s="2039"/>
      <c r="X544" s="2039"/>
      <c r="Y544" s="2039"/>
      <c r="Z544" s="2039"/>
      <c r="AA544" s="2039"/>
      <c r="AB544" s="2039"/>
      <c r="AC544" s="2039"/>
      <c r="AD544" s="2039"/>
      <c r="AE544" s="2048"/>
      <c r="AF544" s="2555"/>
      <c r="AG544" s="2551"/>
      <c r="AH544" s="2551"/>
      <c r="AI544" s="2555"/>
      <c r="AJ544" s="2551"/>
      <c r="AK544" s="2551"/>
      <c r="AL544" s="1989"/>
      <c r="AM544" s="1826"/>
      <c r="AN544" s="1826"/>
      <c r="AO544" s="1826"/>
      <c r="AP544" s="1826"/>
      <c r="AQ544" s="1826"/>
      <c r="AR544" s="1826"/>
      <c r="AS544" s="1826"/>
      <c r="AT544" s="1826"/>
      <c r="AU544" s="1826"/>
      <c r="AV544" s="1826"/>
      <c r="AW544" s="1826"/>
      <c r="AX544" s="1826"/>
      <c r="AY544" s="1826"/>
      <c r="AZ544" s="1826"/>
      <c r="BA544" s="1826"/>
      <c r="BB544" s="1826"/>
      <c r="BC544" s="1826"/>
      <c r="BD544" s="1826"/>
      <c r="BE544" s="1826"/>
      <c r="BF544" s="1826"/>
      <c r="BG544" s="1639"/>
    </row>
    <row customHeight="1" ht="12">
      <c r="A545" s="1170" t="s">
        <v>1269</v>
      </c>
      <c r="B545" s="1170"/>
      <c r="C545" s="1170"/>
      <c r="D545" s="1164"/>
      <c r="E545" s="1174"/>
      <c r="F545" s="2554"/>
      <c r="G545" s="1194"/>
      <c r="H545" s="1194"/>
      <c r="I545" s="2552" t="s">
        <v>1300</v>
      </c>
      <c r="J545" s="2552"/>
      <c r="K545" s="2552"/>
      <c r="L545" s="1177"/>
      <c r="M545" s="1177"/>
      <c r="N545" s="1178"/>
      <c r="O545" s="1178"/>
      <c r="P545" s="1178"/>
      <c r="Q545" s="1178"/>
      <c r="R545" s="1178"/>
      <c r="S545" s="1178"/>
      <c r="T545" s="1178"/>
      <c r="U545" s="1178"/>
      <c r="V545" s="1178"/>
      <c r="W545" s="1178"/>
      <c r="X545" s="1178"/>
      <c r="Y545" s="1178"/>
      <c r="Z545" s="1178"/>
      <c r="AA545" s="1178"/>
      <c r="AB545" s="1178"/>
      <c r="AC545" s="1178"/>
      <c r="AD545" s="1178"/>
      <c r="AE545" s="1178"/>
      <c r="AF545" s="1178"/>
      <c r="AG545" s="1177"/>
      <c r="AH545" s="1177"/>
      <c r="AI545" s="1178"/>
      <c r="AJ545" s="1177"/>
      <c r="AK545" s="1178"/>
      <c r="AL545" s="1989"/>
      <c r="AM545" s="1826"/>
      <c r="AN545" s="1826"/>
      <c r="AO545" s="1826"/>
      <c r="AP545" s="1826"/>
      <c r="AQ545" s="1826"/>
      <c r="AR545" s="1826"/>
      <c r="AS545" s="1826"/>
      <c r="AT545" s="1826"/>
      <c r="AU545" s="1826"/>
      <c r="AV545" s="1826"/>
      <c r="AW545" s="1826"/>
      <c r="AX545" s="1826"/>
      <c r="AY545" s="1826"/>
      <c r="AZ545" s="1826"/>
      <c r="BA545" s="1826"/>
      <c r="BB545" s="1826"/>
      <c r="BC545" s="1826"/>
      <c r="BD545" s="1826"/>
      <c r="BE545" s="1826"/>
      <c r="BF545" s="1826"/>
      <c r="BG545" s="1639"/>
    </row>
    <row customHeight="1" ht="0.75">
      <c r="A546" s="1170" t="s">
        <v>1269</v>
      </c>
      <c r="B546" s="1170"/>
      <c r="C546" s="1170"/>
      <c r="D546" s="1164"/>
      <c r="E546" s="1174"/>
      <c r="F546" s="2553">
        <v>2024</v>
      </c>
      <c r="G546" s="2532"/>
      <c r="H546" s="2557" t="s">
        <v>514</v>
      </c>
      <c r="I546" s="2558"/>
      <c r="J546" s="2559"/>
      <c r="K546" s="2559"/>
      <c r="L546" s="2551"/>
      <c r="M546" s="2285"/>
      <c r="N546" s="2037"/>
      <c r="O546" s="2036"/>
      <c r="P546" s="2037"/>
      <c r="Q546" s="2037"/>
      <c r="R546" s="2037"/>
      <c r="S546" s="2037"/>
      <c r="T546" s="2037"/>
      <c r="U546" s="2037"/>
      <c r="V546" s="2037"/>
      <c r="W546" s="2037"/>
      <c r="X546" s="2037"/>
      <c r="Y546" s="2037"/>
      <c r="Z546" s="2037"/>
      <c r="AA546" s="2037"/>
      <c r="AB546" s="2037"/>
      <c r="AC546" s="2037"/>
      <c r="AD546" s="2037"/>
      <c r="AE546" s="2037"/>
      <c r="AF546" s="2555"/>
      <c r="AG546" s="2551"/>
      <c r="AH546" s="2551"/>
      <c r="AI546" s="2555"/>
      <c r="AJ546" s="2551"/>
      <c r="AK546" s="2551"/>
      <c r="AL546" s="1989"/>
      <c r="AM546" s="1826"/>
      <c r="AN546" s="1826"/>
      <c r="AO546" s="1826"/>
      <c r="AP546" s="1826"/>
      <c r="AQ546" s="1826"/>
      <c r="AR546" s="1826"/>
      <c r="AS546" s="1826"/>
      <c r="AT546" s="1826"/>
      <c r="AU546" s="1826"/>
      <c r="AV546" s="1826"/>
      <c r="AW546" s="1826"/>
      <c r="AX546" s="1826"/>
      <c r="AY546" s="1826"/>
      <c r="AZ546" s="1826"/>
      <c r="BA546" s="1826"/>
      <c r="BB546" s="1826"/>
      <c r="BC546" s="1826"/>
      <c r="BD546" s="1826"/>
      <c r="BE546" s="1826"/>
      <c r="BF546" s="1826"/>
      <c r="BG546" s="1639"/>
    </row>
    <row customHeight="1" ht="0.75">
      <c r="A547" s="1170" t="s">
        <v>1269</v>
      </c>
      <c r="B547" s="1170"/>
      <c r="C547" s="1170"/>
      <c r="D547" s="1164"/>
      <c r="E547" s="1174"/>
      <c r="F547" s="2553"/>
      <c r="G547" s="2532"/>
      <c r="H547" s="2557"/>
      <c r="I547" s="2558"/>
      <c r="J547" s="2559"/>
      <c r="K547" s="2559"/>
      <c r="L547" s="2551"/>
      <c r="M547" s="2285"/>
      <c r="N547" s="2560"/>
      <c r="O547" s="2561"/>
      <c r="P547" s="2605"/>
      <c r="Q547" s="2556"/>
      <c r="R547" s="2556"/>
      <c r="S547" s="2556"/>
      <c r="T547" s="2556"/>
      <c r="U547" s="2556"/>
      <c r="V547" s="2556"/>
      <c r="W547" s="2556"/>
      <c r="X547" s="2556"/>
      <c r="Y547" s="2556"/>
      <c r="Z547" s="2038"/>
      <c r="AA547" s="2039"/>
      <c r="AB547" s="2039"/>
      <c r="AC547" s="2040"/>
      <c r="AD547" s="2040"/>
      <c r="AE547" s="2041"/>
      <c r="AF547" s="2555"/>
      <c r="AG547" s="2551"/>
      <c r="AH547" s="2551"/>
      <c r="AI547" s="2555"/>
      <c r="AJ547" s="2551"/>
      <c r="AK547" s="2551"/>
      <c r="AL547" s="1989"/>
      <c r="AM547" s="1826"/>
      <c r="AN547" s="1826"/>
      <c r="AO547" s="1826"/>
      <c r="AP547" s="1826"/>
      <c r="AQ547" s="1826"/>
      <c r="AR547" s="1826"/>
      <c r="AS547" s="1826"/>
      <c r="AT547" s="1826"/>
      <c r="AU547" s="1826"/>
      <c r="AV547" s="1826"/>
      <c r="AW547" s="1826"/>
      <c r="AX547" s="1826"/>
      <c r="AY547" s="1826"/>
      <c r="AZ547" s="1826"/>
      <c r="BA547" s="1826"/>
      <c r="BB547" s="1826"/>
      <c r="BC547" s="1826"/>
      <c r="BD547" s="1826"/>
      <c r="BE547" s="1826"/>
      <c r="BF547" s="1826"/>
      <c r="BG547" s="1639"/>
    </row>
    <row customHeight="1" ht="0.75">
      <c r="A548" s="1170" t="s">
        <v>1269</v>
      </c>
      <c r="B548" s="1170"/>
      <c r="C548" s="1170"/>
      <c r="D548" s="1164"/>
      <c r="E548" s="1174"/>
      <c r="F548" s="2553"/>
      <c r="G548" s="2532"/>
      <c r="H548" s="2557"/>
      <c r="I548" s="2558"/>
      <c r="J548" s="2559"/>
      <c r="K548" s="2559"/>
      <c r="L548" s="2551"/>
      <c r="M548" s="2285"/>
      <c r="N548" s="2560"/>
      <c r="O548" s="2561"/>
      <c r="P548" s="2606"/>
      <c r="Q548" s="2556"/>
      <c r="R548" s="2556"/>
      <c r="S548" s="2556"/>
      <c r="T548" s="2556"/>
      <c r="U548" s="2556"/>
      <c r="V548" s="2556"/>
      <c r="W548" s="2556"/>
      <c r="X548" s="2556"/>
      <c r="Y548" s="2556"/>
      <c r="Z548" s="2042"/>
      <c r="AA548" s="2043"/>
      <c r="AB548" s="2044"/>
      <c r="AC548" s="2045"/>
      <c r="AD548" s="2044"/>
      <c r="AE548" s="2045"/>
      <c r="AF548" s="2555"/>
      <c r="AG548" s="2551"/>
      <c r="AH548" s="2551"/>
      <c r="AI548" s="2555"/>
      <c r="AJ548" s="2551"/>
      <c r="AK548" s="2551"/>
      <c r="AL548" s="1989"/>
      <c r="AM548" s="1826"/>
      <c r="AN548" s="1826"/>
      <c r="AO548" s="1826"/>
      <c r="AP548" s="1826"/>
      <c r="AQ548" s="1826"/>
      <c r="AR548" s="1826"/>
      <c r="AS548" s="1826"/>
      <c r="AT548" s="1826"/>
      <c r="AU548" s="1826"/>
      <c r="AV548" s="1826"/>
      <c r="AW548" s="1826"/>
      <c r="AX548" s="1826"/>
      <c r="AY548" s="1826"/>
      <c r="AZ548" s="1826"/>
      <c r="BA548" s="1826"/>
      <c r="BB548" s="1826"/>
      <c r="BC548" s="1826"/>
      <c r="BD548" s="1826"/>
      <c r="BE548" s="1826"/>
      <c r="BF548" s="1826"/>
      <c r="BG548" s="1639"/>
    </row>
    <row customHeight="1" ht="0.75">
      <c r="A549" s="1170" t="s">
        <v>1269</v>
      </c>
      <c r="B549" s="1170"/>
      <c r="C549" s="1170"/>
      <c r="D549" s="1164"/>
      <c r="E549" s="1174"/>
      <c r="F549" s="2553"/>
      <c r="G549" s="2532"/>
      <c r="H549" s="2557"/>
      <c r="I549" s="2558"/>
      <c r="J549" s="2559"/>
      <c r="K549" s="2559"/>
      <c r="L549" s="2551"/>
      <c r="M549" s="2285"/>
      <c r="N549" s="2560"/>
      <c r="O549" s="2561"/>
      <c r="P549" s="2607"/>
      <c r="Q549" s="2556"/>
      <c r="R549" s="2556"/>
      <c r="S549" s="2556"/>
      <c r="T549" s="2556"/>
      <c r="U549" s="2556"/>
      <c r="V549" s="2556"/>
      <c r="W549" s="2556"/>
      <c r="X549" s="2556"/>
      <c r="Y549" s="2556"/>
      <c r="Z549" s="2038"/>
      <c r="AA549" s="2039"/>
      <c r="AB549" s="2046"/>
      <c r="AC549" s="2040"/>
      <c r="AD549" s="2040"/>
      <c r="AE549" s="2047"/>
      <c r="AF549" s="2555"/>
      <c r="AG549" s="2551"/>
      <c r="AH549" s="2551"/>
      <c r="AI549" s="2555"/>
      <c r="AJ549" s="2551"/>
      <c r="AK549" s="2551"/>
      <c r="AL549" s="1989"/>
      <c r="AM549" s="1826"/>
      <c r="AN549" s="1826"/>
      <c r="AO549" s="1826"/>
      <c r="AP549" s="1826"/>
      <c r="AQ549" s="1826"/>
      <c r="AR549" s="1826"/>
      <c r="AS549" s="1826"/>
      <c r="AT549" s="1826"/>
      <c r="AU549" s="1826"/>
      <c r="AV549" s="1826"/>
      <c r="AW549" s="1826"/>
      <c r="AX549" s="1826"/>
      <c r="AY549" s="1826"/>
      <c r="AZ549" s="1826"/>
      <c r="BA549" s="1826"/>
      <c r="BB549" s="1826"/>
      <c r="BC549" s="1826"/>
      <c r="BD549" s="1826"/>
      <c r="BE549" s="1826"/>
      <c r="BF549" s="1826"/>
      <c r="BG549" s="1639"/>
    </row>
    <row customHeight="1" ht="0.75">
      <c r="A550" s="1170" t="s">
        <v>1269</v>
      </c>
      <c r="B550" s="1170"/>
      <c r="C550" s="1170"/>
      <c r="D550" s="1164"/>
      <c r="E550" s="1174"/>
      <c r="F550" s="2553"/>
      <c r="G550" s="2532"/>
      <c r="H550" s="2557"/>
      <c r="I550" s="2558"/>
      <c r="J550" s="2559"/>
      <c r="K550" s="2559"/>
      <c r="L550" s="2551"/>
      <c r="M550" s="2285"/>
      <c r="N550" s="2039"/>
      <c r="O550" s="2039"/>
      <c r="P550" s="2046"/>
      <c r="Q550" s="2039"/>
      <c r="R550" s="2039"/>
      <c r="S550" s="2039"/>
      <c r="T550" s="2039"/>
      <c r="U550" s="2039"/>
      <c r="V550" s="2039"/>
      <c r="W550" s="2039"/>
      <c r="X550" s="2039"/>
      <c r="Y550" s="2039"/>
      <c r="Z550" s="2039"/>
      <c r="AA550" s="2039"/>
      <c r="AB550" s="2039"/>
      <c r="AC550" s="2039"/>
      <c r="AD550" s="2039"/>
      <c r="AE550" s="2048"/>
      <c r="AF550" s="2555"/>
      <c r="AG550" s="2551"/>
      <c r="AH550" s="2551"/>
      <c r="AI550" s="2555"/>
      <c r="AJ550" s="2551"/>
      <c r="AK550" s="2551"/>
      <c r="AL550" s="1989"/>
      <c r="AM550" s="1826"/>
      <c r="AN550" s="1826"/>
      <c r="AO550" s="1826"/>
      <c r="AP550" s="1826"/>
      <c r="AQ550" s="1826"/>
      <c r="AR550" s="1826"/>
      <c r="AS550" s="1826"/>
      <c r="AT550" s="1826"/>
      <c r="AU550" s="1826"/>
      <c r="AV550" s="1826"/>
      <c r="AW550" s="1826"/>
      <c r="AX550" s="1826"/>
      <c r="AY550" s="1826"/>
      <c r="AZ550" s="1826"/>
      <c r="BA550" s="1826"/>
      <c r="BB550" s="1826"/>
      <c r="BC550" s="1826"/>
      <c r="BD550" s="1826"/>
      <c r="BE550" s="1826"/>
      <c r="BF550" s="1826"/>
      <c r="BG550" s="1639"/>
    </row>
    <row customHeight="1" ht="11.25">
      <c r="A551" s="1170" t="s">
        <v>1269</v>
      </c>
      <c r="B551" s="1170"/>
      <c r="C551" s="1170"/>
      <c r="D551" s="1164"/>
      <c r="E551" s="1174"/>
      <c r="F551" s="1832"/>
      <c r="G551" s="687" t="s">
        <v>103</v>
      </c>
      <c r="H551" s="2532" t="s">
        <v>105</v>
      </c>
      <c r="I551" s="2533"/>
      <c r="J551" s="2502"/>
      <c r="K551" s="2534" t="s">
        <v>1341</v>
      </c>
      <c r="L551" s="2124" t="s">
        <v>19</v>
      </c>
      <c r="M551" s="2125"/>
      <c r="N551" s="1987"/>
      <c r="O551" s="1181" t="s">
        <v>514</v>
      </c>
      <c r="P551" s="1182"/>
      <c r="Q551" s="1182"/>
      <c r="R551" s="1182"/>
      <c r="S551" s="1182"/>
      <c r="T551" s="1182"/>
      <c r="U551" s="1182"/>
      <c r="V551" s="1182"/>
      <c r="W551" s="1182"/>
      <c r="X551" s="1182"/>
      <c r="Y551" s="1182"/>
      <c r="Z551" s="1182"/>
      <c r="AA551" s="1182"/>
      <c r="AB551" s="1182"/>
      <c r="AC551" s="1182"/>
      <c r="AD551" s="1182"/>
      <c r="AE551" s="1182"/>
      <c r="AF551" s="2523">
        <v>3</v>
      </c>
      <c r="AG551" s="2524" t="s">
        <v>1302</v>
      </c>
      <c r="AH551" s="2524" t="s">
        <v>1323</v>
      </c>
      <c r="AI551" s="2523">
        <v>3</v>
      </c>
      <c r="AJ551" s="2524" t="s">
        <v>1302</v>
      </c>
      <c r="AK551" s="2524" t="s">
        <v>1323</v>
      </c>
      <c r="AL551" s="1989"/>
      <c r="AM551" s="1826"/>
      <c r="AN551" s="1826"/>
      <c r="AO551" s="1826"/>
      <c r="AP551" s="1826"/>
      <c r="AQ551" s="1826"/>
      <c r="AR551" s="1826"/>
      <c r="AS551" s="1826"/>
      <c r="AT551" s="1826"/>
      <c r="AU551" s="1826"/>
      <c r="AV551" s="1826"/>
      <c r="AW551" s="1826"/>
      <c r="AX551" s="1826"/>
      <c r="AY551" s="1826"/>
      <c r="AZ551" s="1826"/>
      <c r="BA551" s="1826"/>
      <c r="BB551" s="1826"/>
      <c r="BC551" s="1826"/>
      <c r="BD551" s="1826"/>
      <c r="BE551" s="1826"/>
      <c r="BF551" s="1826"/>
      <c r="BG551" s="1639"/>
    </row>
    <row customHeight="1" ht="11.25">
      <c r="A552" s="1170" t="s">
        <v>1269</v>
      </c>
      <c r="B552" s="1170"/>
      <c r="C552" s="1170"/>
      <c r="D552" s="1164"/>
      <c r="E552" s="1174"/>
      <c r="F552" s="1832"/>
      <c r="G552" s="1833"/>
      <c r="H552" s="2532" t="s">
        <v>514</v>
      </c>
      <c r="I552" s="2533"/>
      <c r="J552" s="2502"/>
      <c r="K552" s="2534"/>
      <c r="L552" s="2124"/>
      <c r="M552" s="2125"/>
      <c r="N552" s="2525"/>
      <c r="O552" s="2526">
        <v>1</v>
      </c>
      <c r="P552" s="2527" t="s">
        <v>19</v>
      </c>
      <c r="Q552" s="2530" t="s">
        <v>22</v>
      </c>
      <c r="R552" s="2530" t="s">
        <v>22</v>
      </c>
      <c r="S552" s="2530" t="s">
        <v>22</v>
      </c>
      <c r="T552" s="2530" t="s">
        <v>22</v>
      </c>
      <c r="U552" s="2530" t="s">
        <v>22</v>
      </c>
      <c r="V552" s="2530" t="s">
        <v>22</v>
      </c>
      <c r="W552" s="2530" t="s">
        <v>22</v>
      </c>
      <c r="X552" s="2530" t="s">
        <v>22</v>
      </c>
      <c r="Y552" s="2530"/>
      <c r="Z552" s="1179"/>
      <c r="AA552" s="1180"/>
      <c r="AB552" s="1180"/>
      <c r="AC552" s="1184"/>
      <c r="AD552" s="1184"/>
      <c r="AE552" s="1185"/>
      <c r="AF552" s="2523"/>
      <c r="AG552" s="2524"/>
      <c r="AH552" s="2524"/>
      <c r="AI552" s="2523"/>
      <c r="AJ552" s="2524"/>
      <c r="AK552" s="2524"/>
      <c r="AL552" s="1989"/>
      <c r="AM552" s="1826"/>
      <c r="AN552" s="1826"/>
      <c r="AO552" s="1826"/>
      <c r="AP552" s="1826"/>
      <c r="AQ552" s="1826"/>
      <c r="AR552" s="1826"/>
      <c r="AS552" s="1826"/>
      <c r="AT552" s="1826"/>
      <c r="AU552" s="1826"/>
      <c r="AV552" s="1826"/>
      <c r="AW552" s="1826"/>
      <c r="AX552" s="1826"/>
      <c r="AY552" s="1826"/>
      <c r="AZ552" s="1826"/>
      <c r="BA552" s="1826"/>
      <c r="BB552" s="1826"/>
      <c r="BC552" s="1826"/>
      <c r="BD552" s="1826"/>
      <c r="BE552" s="1826"/>
      <c r="BF552" s="1826"/>
      <c r="BG552" s="1639"/>
    </row>
    <row customHeight="1" ht="11.25">
      <c r="A553" s="1170" t="s">
        <v>1269</v>
      </c>
      <c r="B553" s="1170"/>
      <c r="C553" s="1170"/>
      <c r="D553" s="1164"/>
      <c r="E553" s="1174"/>
      <c r="F553" s="1832"/>
      <c r="G553" s="1833"/>
      <c r="H553" s="2532" t="s">
        <v>514</v>
      </c>
      <c r="I553" s="2533"/>
      <c r="J553" s="2502"/>
      <c r="K553" s="2534"/>
      <c r="L553" s="2124"/>
      <c r="M553" s="2125"/>
      <c r="N553" s="2525"/>
      <c r="O553" s="2526"/>
      <c r="P553" s="2528"/>
      <c r="Q553" s="2530"/>
      <c r="R553" s="2530"/>
      <c r="S553" s="2531"/>
      <c r="T553" s="2530"/>
      <c r="U553" s="2530"/>
      <c r="V553" s="2530"/>
      <c r="W553" s="2530"/>
      <c r="X553" s="2530"/>
      <c r="Y553" s="2530"/>
      <c r="Z553" s="1831"/>
      <c r="AA553" s="1797">
        <v>1</v>
      </c>
      <c r="AB553" s="1183" t="s">
        <v>1325</v>
      </c>
      <c r="AC553" s="1173">
        <v>2153.21</v>
      </c>
      <c r="AD553" s="1183" t="str">
        <f>AB553</f>
        <v>     Амортизационные отчисления в результате переоценки основных средств и нематериальных активов</v>
      </c>
      <c r="AE553" s="1173">
        <v>2153.21</v>
      </c>
      <c r="AF553" s="2523"/>
      <c r="AG553" s="2524"/>
      <c r="AH553" s="2524"/>
      <c r="AI553" s="2523"/>
      <c r="AJ553" s="2524"/>
      <c r="AK553" s="2524"/>
      <c r="AL553" s="1989"/>
      <c r="AM553" s="1826"/>
      <c r="AN553" s="1826"/>
      <c r="AO553" s="1826"/>
      <c r="AP553" s="1826"/>
      <c r="AQ553" s="1826"/>
      <c r="AR553" s="1826"/>
      <c r="AS553" s="1826"/>
      <c r="AT553" s="1826"/>
      <c r="AU553" s="1826"/>
      <c r="AV553" s="1826"/>
      <c r="AW553" s="1826"/>
      <c r="AX553" s="1826"/>
      <c r="AY553" s="1826"/>
      <c r="AZ553" s="1826"/>
      <c r="BA553" s="1826"/>
      <c r="BB553" s="1826"/>
      <c r="BC553" s="1826"/>
      <c r="BD553" s="1826"/>
      <c r="BE553" s="1826"/>
      <c r="BF553" s="1826"/>
      <c r="BG553" s="1639"/>
    </row>
    <row customHeight="1" ht="11.25">
      <c r="A554" s="1170" t="s">
        <v>1269</v>
      </c>
      <c r="B554" s="1170"/>
      <c r="C554" s="1170"/>
      <c r="D554" s="1164"/>
      <c r="E554" s="1174"/>
      <c r="F554" s="1832"/>
      <c r="G554" s="1833"/>
      <c r="H554" s="2532" t="s">
        <v>514</v>
      </c>
      <c r="I554" s="2533"/>
      <c r="J554" s="2502"/>
      <c r="K554" s="2534"/>
      <c r="L554" s="2124"/>
      <c r="M554" s="2125"/>
      <c r="N554" s="2525"/>
      <c r="O554" s="2526"/>
      <c r="P554" s="2529"/>
      <c r="Q554" s="2530"/>
      <c r="R554" s="2530"/>
      <c r="S554" s="2531"/>
      <c r="T554" s="2530"/>
      <c r="U554" s="2530"/>
      <c r="V554" s="2530"/>
      <c r="W554" s="2530"/>
      <c r="X554" s="2530"/>
      <c r="Y554" s="2530"/>
      <c r="Z554" s="1179"/>
      <c r="AA554" s="1180"/>
      <c r="AB554" s="1245" t="s">
        <v>1313</v>
      </c>
      <c r="AC554" s="1184"/>
      <c r="AD554" s="1184"/>
      <c r="AE554" s="1186"/>
      <c r="AF554" s="2523"/>
      <c r="AG554" s="2524"/>
      <c r="AH554" s="2524"/>
      <c r="AI554" s="2523"/>
      <c r="AJ554" s="2524"/>
      <c r="AK554" s="2524"/>
      <c r="AL554" s="1989"/>
      <c r="AM554" s="1826"/>
      <c r="AN554" s="1826"/>
      <c r="AO554" s="1826"/>
      <c r="AP554" s="1826"/>
      <c r="AQ554" s="1826"/>
      <c r="AR554" s="1826"/>
      <c r="AS554" s="1826"/>
      <c r="AT554" s="1826"/>
      <c r="AU554" s="1826"/>
      <c r="AV554" s="1826"/>
      <c r="AW554" s="1826"/>
      <c r="AX554" s="1826"/>
      <c r="AY554" s="1826"/>
      <c r="AZ554" s="1826"/>
      <c r="BA554" s="1826"/>
      <c r="BB554" s="1826"/>
      <c r="BC554" s="1826"/>
      <c r="BD554" s="1826"/>
      <c r="BE554" s="1826"/>
      <c r="BF554" s="1826"/>
      <c r="BG554" s="1639"/>
    </row>
    <row customHeight="1" ht="11.25">
      <c r="A555" s="1170" t="s">
        <v>1269</v>
      </c>
      <c r="B555" s="1170"/>
      <c r="C555" s="1170"/>
      <c r="D555" s="1164"/>
      <c r="E555" s="1174"/>
      <c r="F555" s="1832"/>
      <c r="G555" s="1833"/>
      <c r="H555" s="2532" t="s">
        <v>514</v>
      </c>
      <c r="I555" s="2533"/>
      <c r="J555" s="2502"/>
      <c r="K555" s="2534"/>
      <c r="L555" s="2124"/>
      <c r="M555" s="2125"/>
      <c r="N555" s="1179"/>
      <c r="O555" s="1180"/>
      <c r="P555" s="1172" t="s">
        <v>1314</v>
      </c>
      <c r="Q555" s="1180"/>
      <c r="R555" s="1180"/>
      <c r="S555" s="1180"/>
      <c r="T555" s="1180"/>
      <c r="U555" s="1180"/>
      <c r="V555" s="1180"/>
      <c r="W555" s="1180"/>
      <c r="X555" s="1180"/>
      <c r="Y555" s="1180"/>
      <c r="Z555" s="1180"/>
      <c r="AA555" s="1180"/>
      <c r="AB555" s="1180"/>
      <c r="AC555" s="1180"/>
      <c r="AD555" s="1180"/>
      <c r="AE555" s="1187"/>
      <c r="AF555" s="2523"/>
      <c r="AG555" s="2524"/>
      <c r="AH555" s="2524"/>
      <c r="AI555" s="2523"/>
      <c r="AJ555" s="2524"/>
      <c r="AK555" s="2524"/>
      <c r="AL555" s="1989"/>
      <c r="AM555" s="1826"/>
      <c r="AN555" s="1826"/>
      <c r="AO555" s="1826"/>
      <c r="AP555" s="1826"/>
      <c r="AQ555" s="1826"/>
      <c r="AR555" s="1826"/>
      <c r="AS555" s="1826"/>
      <c r="AT555" s="1826"/>
      <c r="AU555" s="1826"/>
      <c r="AV555" s="1826"/>
      <c r="AW555" s="1826"/>
      <c r="AX555" s="1826"/>
      <c r="AY555" s="1826"/>
      <c r="AZ555" s="1826"/>
      <c r="BA555" s="1826"/>
      <c r="BB555" s="1826"/>
      <c r="BC555" s="1826"/>
      <c r="BD555" s="1826"/>
      <c r="BE555" s="1826"/>
      <c r="BF555" s="1826"/>
      <c r="BG555" s="1639"/>
    </row>
    <row customHeight="1" ht="11.25">
      <c r="A556" s="1170" t="s">
        <v>1269</v>
      </c>
      <c r="B556" s="1170"/>
      <c r="C556" s="1170"/>
      <c r="D556" s="1164"/>
      <c r="E556" s="1174"/>
      <c r="F556" s="1832"/>
      <c r="G556" s="687" t="s">
        <v>103</v>
      </c>
      <c r="H556" s="2532" t="s">
        <v>102</v>
      </c>
      <c r="I556" s="2533"/>
      <c r="J556" s="2502"/>
      <c r="K556" s="2534" t="s">
        <v>1342</v>
      </c>
      <c r="L556" s="2124" t="s">
        <v>19</v>
      </c>
      <c r="M556" s="2125"/>
      <c r="N556" s="1987"/>
      <c r="O556" s="1181" t="s">
        <v>514</v>
      </c>
      <c r="P556" s="1182"/>
      <c r="Q556" s="1182"/>
      <c r="R556" s="1182"/>
      <c r="S556" s="1182"/>
      <c r="T556" s="1182"/>
      <c r="U556" s="1182"/>
      <c r="V556" s="1182"/>
      <c r="W556" s="1182"/>
      <c r="X556" s="1182"/>
      <c r="Y556" s="1182"/>
      <c r="Z556" s="1182"/>
      <c r="AA556" s="1182"/>
      <c r="AB556" s="1182"/>
      <c r="AC556" s="1182"/>
      <c r="AD556" s="1182"/>
      <c r="AE556" s="1182"/>
      <c r="AF556" s="2523">
        <v>2</v>
      </c>
      <c r="AG556" s="2524" t="s">
        <v>1302</v>
      </c>
      <c r="AH556" s="2524" t="s">
        <v>1343</v>
      </c>
      <c r="AI556" s="2523">
        <v>2</v>
      </c>
      <c r="AJ556" s="2524" t="s">
        <v>1302</v>
      </c>
      <c r="AK556" s="2524" t="s">
        <v>1343</v>
      </c>
      <c r="AL556" s="1989"/>
      <c r="AM556" s="1826"/>
      <c r="AN556" s="1826"/>
      <c r="AO556" s="1826"/>
      <c r="AP556" s="1826"/>
      <c r="AQ556" s="1826"/>
      <c r="AR556" s="1826"/>
      <c r="AS556" s="1826"/>
      <c r="AT556" s="1826"/>
      <c r="AU556" s="1826"/>
      <c r="AV556" s="1826"/>
      <c r="AW556" s="1826"/>
      <c r="AX556" s="1826"/>
      <c r="AY556" s="1826"/>
      <c r="AZ556" s="1826"/>
      <c r="BA556" s="1826"/>
      <c r="BB556" s="1826"/>
      <c r="BC556" s="1826"/>
      <c r="BD556" s="1826"/>
      <c r="BE556" s="1826"/>
      <c r="BF556" s="1826"/>
      <c r="BG556" s="1639"/>
    </row>
    <row customHeight="1" ht="11.25">
      <c r="A557" s="1170" t="s">
        <v>1269</v>
      </c>
      <c r="B557" s="1170"/>
      <c r="C557" s="1170"/>
      <c r="D557" s="1164"/>
      <c r="E557" s="1174"/>
      <c r="F557" s="1832"/>
      <c r="G557" s="1833"/>
      <c r="H557" s="2532" t="s">
        <v>105</v>
      </c>
      <c r="I557" s="2533"/>
      <c r="J557" s="2502"/>
      <c r="K557" s="2534"/>
      <c r="L557" s="2124"/>
      <c r="M557" s="2125"/>
      <c r="N557" s="2525"/>
      <c r="O557" s="2526">
        <v>1</v>
      </c>
      <c r="P557" s="2527" t="s">
        <v>19</v>
      </c>
      <c r="Q557" s="2530" t="s">
        <v>22</v>
      </c>
      <c r="R557" s="2530" t="s">
        <v>22</v>
      </c>
      <c r="S557" s="2530" t="s">
        <v>22</v>
      </c>
      <c r="T557" s="2530" t="s">
        <v>22</v>
      </c>
      <c r="U557" s="2530" t="s">
        <v>22</v>
      </c>
      <c r="V557" s="2530" t="s">
        <v>22</v>
      </c>
      <c r="W557" s="2530" t="s">
        <v>22</v>
      </c>
      <c r="X557" s="2530" t="s">
        <v>22</v>
      </c>
      <c r="Y557" s="2530"/>
      <c r="Z557" s="1179"/>
      <c r="AA557" s="1180"/>
      <c r="AB557" s="1180"/>
      <c r="AC557" s="1184"/>
      <c r="AD557" s="1184"/>
      <c r="AE557" s="1185"/>
      <c r="AF557" s="2523"/>
      <c r="AG557" s="2524"/>
      <c r="AH557" s="2524"/>
      <c r="AI557" s="2523"/>
      <c r="AJ557" s="2524"/>
      <c r="AK557" s="2524"/>
      <c r="AL557" s="1989"/>
      <c r="AM557" s="1826"/>
      <c r="AN557" s="1826"/>
      <c r="AO557" s="1826"/>
      <c r="AP557" s="1826"/>
      <c r="AQ557" s="1826"/>
      <c r="AR557" s="1826"/>
      <c r="AS557" s="1826"/>
      <c r="AT557" s="1826"/>
      <c r="AU557" s="1826"/>
      <c r="AV557" s="1826"/>
      <c r="AW557" s="1826"/>
      <c r="AX557" s="1826"/>
      <c r="AY557" s="1826"/>
      <c r="AZ557" s="1826"/>
      <c r="BA557" s="1826"/>
      <c r="BB557" s="1826"/>
      <c r="BC557" s="1826"/>
      <c r="BD557" s="1826"/>
      <c r="BE557" s="1826"/>
      <c r="BF557" s="1826"/>
      <c r="BG557" s="1639"/>
    </row>
    <row customHeight="1" ht="11.25">
      <c r="A558" s="1170" t="s">
        <v>1269</v>
      </c>
      <c r="B558" s="1170"/>
      <c r="C558" s="1170"/>
      <c r="D558" s="1164"/>
      <c r="E558" s="1174"/>
      <c r="F558" s="1832"/>
      <c r="G558" s="1833"/>
      <c r="H558" s="2532" t="s">
        <v>105</v>
      </c>
      <c r="I558" s="2533"/>
      <c r="J558" s="2502"/>
      <c r="K558" s="2534"/>
      <c r="L558" s="2124"/>
      <c r="M558" s="2125"/>
      <c r="N558" s="2525"/>
      <c r="O558" s="2526"/>
      <c r="P558" s="2528"/>
      <c r="Q558" s="2530"/>
      <c r="R558" s="2530"/>
      <c r="S558" s="2531"/>
      <c r="T558" s="2530"/>
      <c r="U558" s="2530"/>
      <c r="V558" s="2530"/>
      <c r="W558" s="2530"/>
      <c r="X558" s="2530"/>
      <c r="Y558" s="2530"/>
      <c r="Z558" s="1831"/>
      <c r="AA558" s="1797">
        <v>1</v>
      </c>
      <c r="AB558" s="1183" t="s">
        <v>1325</v>
      </c>
      <c r="AC558" s="1173">
        <v>611.87</v>
      </c>
      <c r="AD558" s="1183" t="str">
        <f>AB558</f>
        <v>     Амортизационные отчисления в результате переоценки основных средств и нематериальных активов</v>
      </c>
      <c r="AE558" s="1173">
        <v>611.87</v>
      </c>
      <c r="AF558" s="2523"/>
      <c r="AG558" s="2524"/>
      <c r="AH558" s="2524"/>
      <c r="AI558" s="2523"/>
      <c r="AJ558" s="2524"/>
      <c r="AK558" s="2524"/>
      <c r="AL558" s="1989"/>
      <c r="AM558" s="1826"/>
      <c r="AN558" s="1826"/>
      <c r="AO558" s="1826"/>
      <c r="AP558" s="1826"/>
      <c r="AQ558" s="1826"/>
      <c r="AR558" s="1826"/>
      <c r="AS558" s="1826"/>
      <c r="AT558" s="1826"/>
      <c r="AU558" s="1826"/>
      <c r="AV558" s="1826"/>
      <c r="AW558" s="1826"/>
      <c r="AX558" s="1826"/>
      <c r="AY558" s="1826"/>
      <c r="AZ558" s="1826"/>
      <c r="BA558" s="1826"/>
      <c r="BB558" s="1826"/>
      <c r="BC558" s="1826"/>
      <c r="BD558" s="1826"/>
      <c r="BE558" s="1826"/>
      <c r="BF558" s="1826"/>
      <c r="BG558" s="1639"/>
    </row>
    <row customHeight="1" ht="11.25">
      <c r="A559" s="1170" t="s">
        <v>1269</v>
      </c>
      <c r="B559" s="1170"/>
      <c r="C559" s="1170"/>
      <c r="D559" s="1164"/>
      <c r="E559" s="1174"/>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687" t="s">
        <v>103</v>
      </c>
      <c r="AA559" s="1817" t="s">
        <v>102</v>
      </c>
      <c r="AB559" s="1183" t="s">
        <v>1344</v>
      </c>
      <c r="AC559" s="1173">
        <v>3536.25</v>
      </c>
      <c r="AD559" s="1183" t="str">
        <f>AB559</f>
        <v>  Кредиты</v>
      </c>
      <c r="AE559" s="1173">
        <v>0</v>
      </c>
      <c r="AF559" s="2090"/>
      <c r="AG559" s="1762"/>
      <c r="AH559" s="1762"/>
      <c r="AI559" s="2090"/>
      <c r="AJ559" s="1762"/>
      <c r="AK559" s="1988"/>
      <c r="AL559" s="1989"/>
      <c r="AM559" s="1826"/>
      <c r="AN559" s="1826"/>
      <c r="AO559" s="1826"/>
      <c r="AP559" s="1826"/>
      <c r="AQ559" s="1826"/>
      <c r="AR559" s="1826"/>
      <c r="AS559" s="1826"/>
      <c r="AT559" s="1826"/>
      <c r="AU559" s="1826"/>
      <c r="AV559" s="1826"/>
      <c r="AW559" s="1826"/>
      <c r="AX559" s="1826"/>
      <c r="AY559" s="1826"/>
      <c r="AZ559" s="1826"/>
      <c r="BA559" s="1826"/>
      <c r="BB559" s="1826"/>
      <c r="BC559" s="1826"/>
      <c r="BD559" s="1826"/>
      <c r="BE559" s="1826"/>
      <c r="BF559" s="1826"/>
      <c r="BG559" s="1639"/>
    </row>
    <row customHeight="1" ht="11.25">
      <c r="A560" s="1170" t="s">
        <v>1269</v>
      </c>
      <c r="B560" s="1170"/>
      <c r="C560" s="1170"/>
      <c r="D560" s="1164"/>
      <c r="E560" s="1174"/>
      <c r="F560" s="1832"/>
      <c r="G560" s="1833"/>
      <c r="H560" s="2532" t="s">
        <v>105</v>
      </c>
      <c r="I560" s="2533"/>
      <c r="J560" s="2502"/>
      <c r="K560" s="2534"/>
      <c r="L560" s="2124"/>
      <c r="M560" s="2125"/>
      <c r="N560" s="2525"/>
      <c r="O560" s="2526"/>
      <c r="P560" s="2529"/>
      <c r="Q560" s="2530"/>
      <c r="R560" s="2530"/>
      <c r="S560" s="2531"/>
      <c r="T560" s="2530"/>
      <c r="U560" s="2530"/>
      <c r="V560" s="2530"/>
      <c r="W560" s="2530"/>
      <c r="X560" s="2530"/>
      <c r="Y560" s="2530"/>
      <c r="Z560" s="1179"/>
      <c r="AA560" s="1180"/>
      <c r="AB560" s="1245" t="s">
        <v>1313</v>
      </c>
      <c r="AC560" s="1184"/>
      <c r="AD560" s="1184"/>
      <c r="AE560" s="1186"/>
      <c r="AF560" s="2523"/>
      <c r="AG560" s="2524"/>
      <c r="AH560" s="2524"/>
      <c r="AI560" s="2523"/>
      <c r="AJ560" s="2524"/>
      <c r="AK560" s="2524"/>
      <c r="AL560" s="1989"/>
      <c r="AM560" s="1826"/>
      <c r="AN560" s="1826"/>
      <c r="AO560" s="1826"/>
      <c r="AP560" s="1826"/>
      <c r="AQ560" s="1826"/>
      <c r="AR560" s="1826"/>
      <c r="AS560" s="1826"/>
      <c r="AT560" s="1826"/>
      <c r="AU560" s="1826"/>
      <c r="AV560" s="1826"/>
      <c r="AW560" s="1826"/>
      <c r="AX560" s="1826"/>
      <c r="AY560" s="1826"/>
      <c r="AZ560" s="1826"/>
      <c r="BA560" s="1826"/>
      <c r="BB560" s="1826"/>
      <c r="BC560" s="1826"/>
      <c r="BD560" s="1826"/>
      <c r="BE560" s="1826"/>
      <c r="BF560" s="1826"/>
      <c r="BG560" s="1639"/>
    </row>
    <row customHeight="1" ht="11.25">
      <c r="A561" s="1170" t="s">
        <v>1269</v>
      </c>
      <c r="B561" s="1170"/>
      <c r="C561" s="1170"/>
      <c r="D561" s="1164"/>
      <c r="E561" s="1174"/>
      <c r="F561" s="1832"/>
      <c r="G561" s="1833"/>
      <c r="H561" s="2532" t="s">
        <v>105</v>
      </c>
      <c r="I561" s="2533"/>
      <c r="J561" s="2502"/>
      <c r="K561" s="2534"/>
      <c r="L561" s="2124"/>
      <c r="M561" s="2125"/>
      <c r="N561" s="1179"/>
      <c r="O561" s="1180"/>
      <c r="P561" s="1172" t="s">
        <v>1314</v>
      </c>
      <c r="Q561" s="1180"/>
      <c r="R561" s="1180"/>
      <c r="S561" s="1180"/>
      <c r="T561" s="1180"/>
      <c r="U561" s="1180"/>
      <c r="V561" s="1180"/>
      <c r="W561" s="1180"/>
      <c r="X561" s="1180"/>
      <c r="Y561" s="1180"/>
      <c r="Z561" s="1180"/>
      <c r="AA561" s="1180"/>
      <c r="AB561" s="1180"/>
      <c r="AC561" s="1180"/>
      <c r="AD561" s="1180"/>
      <c r="AE561" s="1187"/>
      <c r="AF561" s="2523"/>
      <c r="AG561" s="2524"/>
      <c r="AH561" s="2524"/>
      <c r="AI561" s="2523"/>
      <c r="AJ561" s="2524"/>
      <c r="AK561" s="2524"/>
      <c r="AL561" s="1989"/>
      <c r="AM561" s="1826"/>
      <c r="AN561" s="1826"/>
      <c r="AO561" s="1826"/>
      <c r="AP561" s="1826"/>
      <c r="AQ561" s="1826"/>
      <c r="AR561" s="1826"/>
      <c r="AS561" s="1826"/>
      <c r="AT561" s="1826"/>
      <c r="AU561" s="1826"/>
      <c r="AV561" s="1826"/>
      <c r="AW561" s="1826"/>
      <c r="AX561" s="1826"/>
      <c r="AY561" s="1826"/>
      <c r="AZ561" s="1826"/>
      <c r="BA561" s="1826"/>
      <c r="BB561" s="1826"/>
      <c r="BC561" s="1826"/>
      <c r="BD561" s="1826"/>
      <c r="BE561" s="1826"/>
      <c r="BF561" s="1826"/>
      <c r="BG561" s="1639"/>
    </row>
    <row customHeight="1" ht="12">
      <c r="A562" s="1170" t="s">
        <v>1269</v>
      </c>
      <c r="B562" s="1170"/>
      <c r="C562" s="1170"/>
      <c r="D562" s="1164"/>
      <c r="E562" s="1174"/>
      <c r="F562" s="2554"/>
      <c r="G562" s="1194"/>
      <c r="H562" s="1194"/>
      <c r="I562" s="2552" t="s">
        <v>1300</v>
      </c>
      <c r="J562" s="2552"/>
      <c r="K562" s="2552"/>
      <c r="L562" s="1177"/>
      <c r="M562" s="1177"/>
      <c r="N562" s="1178"/>
      <c r="O562" s="1178"/>
      <c r="P562" s="1178"/>
      <c r="Q562" s="1178"/>
      <c r="R562" s="1178"/>
      <c r="S562" s="1178"/>
      <c r="T562" s="1178"/>
      <c r="U562" s="1178"/>
      <c r="V562" s="1178"/>
      <c r="W562" s="1178"/>
      <c r="X562" s="1178"/>
      <c r="Y562" s="1178"/>
      <c r="Z562" s="1178"/>
      <c r="AA562" s="1178"/>
      <c r="AB562" s="1178"/>
      <c r="AC562" s="1178"/>
      <c r="AD562" s="1178"/>
      <c r="AE562" s="1178"/>
      <c r="AF562" s="1178"/>
      <c r="AG562" s="1177"/>
      <c r="AH562" s="1177"/>
      <c r="AI562" s="1178"/>
      <c r="AJ562" s="1177"/>
      <c r="AK562" s="1178"/>
      <c r="AL562" s="1989"/>
      <c r="AM562" s="1826"/>
      <c r="AN562" s="1826"/>
      <c r="AO562" s="1826"/>
      <c r="AP562" s="1826"/>
      <c r="AQ562" s="1826"/>
      <c r="AR562" s="1826"/>
      <c r="AS562" s="1826"/>
      <c r="AT562" s="1826"/>
      <c r="AU562" s="1826"/>
      <c r="AV562" s="1826"/>
      <c r="AW562" s="1826"/>
      <c r="AX562" s="1826"/>
      <c r="AY562" s="1826"/>
      <c r="AZ562" s="1826"/>
      <c r="BA562" s="1826"/>
      <c r="BB562" s="1826"/>
      <c r="BC562" s="1826"/>
      <c r="BD562" s="1826"/>
      <c r="BE562" s="1826"/>
      <c r="BF562" s="1826"/>
      <c r="BG562" s="1639"/>
    </row>
    <row customHeight="1" ht="0.75">
      <c r="A563" s="1170" t="s">
        <v>1269</v>
      </c>
      <c r="B563" s="1170"/>
      <c r="C563" s="1170"/>
      <c r="D563" s="1164"/>
      <c r="E563" s="1174"/>
      <c r="F563" s="2553">
        <v>2025</v>
      </c>
      <c r="G563" s="2532"/>
      <c r="H563" s="2557" t="s">
        <v>514</v>
      </c>
      <c r="I563" s="2558"/>
      <c r="J563" s="2559"/>
      <c r="K563" s="2559"/>
      <c r="L563" s="2551"/>
      <c r="M563" s="2285"/>
      <c r="N563" s="2037"/>
      <c r="O563" s="2036"/>
      <c r="P563" s="2037"/>
      <c r="Q563" s="2037"/>
      <c r="R563" s="2037"/>
      <c r="S563" s="2037"/>
      <c r="T563" s="2037"/>
      <c r="U563" s="2037"/>
      <c r="V563" s="2037"/>
      <c r="W563" s="2037"/>
      <c r="X563" s="2037"/>
      <c r="Y563" s="2037"/>
      <c r="Z563" s="2037"/>
      <c r="AA563" s="2037"/>
      <c r="AB563" s="2037"/>
      <c r="AC563" s="2037"/>
      <c r="AD563" s="2037"/>
      <c r="AE563" s="2037"/>
      <c r="AF563" s="2555"/>
      <c r="AG563" s="2551"/>
      <c r="AH563" s="2551"/>
      <c r="AI563" s="2555"/>
      <c r="AJ563" s="2551"/>
      <c r="AK563" s="2551"/>
      <c r="AL563" s="1989"/>
      <c r="AM563" s="1826"/>
      <c r="AN563" s="1826"/>
      <c r="AO563" s="1826"/>
      <c r="AP563" s="1826"/>
      <c r="AQ563" s="1826"/>
      <c r="AR563" s="1826"/>
      <c r="AS563" s="1826"/>
      <c r="AT563" s="1826"/>
      <c r="AU563" s="1826"/>
      <c r="AV563" s="1826"/>
      <c r="AW563" s="1826"/>
      <c r="AX563" s="1826"/>
      <c r="AY563" s="1826"/>
      <c r="AZ563" s="1826"/>
      <c r="BA563" s="1826"/>
      <c r="BB563" s="1826"/>
      <c r="BC563" s="1826"/>
      <c r="BD563" s="1826"/>
      <c r="BE563" s="1826"/>
      <c r="BF563" s="1826"/>
      <c r="BG563" s="1639"/>
    </row>
    <row customHeight="1" ht="0.75">
      <c r="A564" s="1170" t="s">
        <v>1269</v>
      </c>
      <c r="B564" s="1170"/>
      <c r="C564" s="1170"/>
      <c r="D564" s="1164"/>
      <c r="E564" s="1174"/>
      <c r="F564" s="2553"/>
      <c r="G564" s="2532"/>
      <c r="H564" s="2557"/>
      <c r="I564" s="2558"/>
      <c r="J564" s="2559"/>
      <c r="K564" s="2559"/>
      <c r="L564" s="2551"/>
      <c r="M564" s="2285"/>
      <c r="N564" s="2560"/>
      <c r="O564" s="2561"/>
      <c r="P564" s="2605"/>
      <c r="Q564" s="2556"/>
      <c r="R564" s="2556"/>
      <c r="S564" s="2556"/>
      <c r="T564" s="2556"/>
      <c r="U564" s="2556"/>
      <c r="V564" s="2556"/>
      <c r="W564" s="2556"/>
      <c r="X564" s="2556"/>
      <c r="Y564" s="2556"/>
      <c r="Z564" s="2038"/>
      <c r="AA564" s="2039"/>
      <c r="AB564" s="2039"/>
      <c r="AC564" s="2040"/>
      <c r="AD564" s="2040"/>
      <c r="AE564" s="2041"/>
      <c r="AF564" s="2555"/>
      <c r="AG564" s="2551"/>
      <c r="AH564" s="2551"/>
      <c r="AI564" s="2555"/>
      <c r="AJ564" s="2551"/>
      <c r="AK564" s="2551"/>
      <c r="AL564" s="1989"/>
      <c r="AM564" s="1826"/>
      <c r="AN564" s="1826"/>
      <c r="AO564" s="1826"/>
      <c r="AP564" s="1826"/>
      <c r="AQ564" s="1826"/>
      <c r="AR564" s="1826"/>
      <c r="AS564" s="1826"/>
      <c r="AT564" s="1826"/>
      <c r="AU564" s="1826"/>
      <c r="AV564" s="1826"/>
      <c r="AW564" s="1826"/>
      <c r="AX564" s="1826"/>
      <c r="AY564" s="1826"/>
      <c r="AZ564" s="1826"/>
      <c r="BA564" s="1826"/>
      <c r="BB564" s="1826"/>
      <c r="BC564" s="1826"/>
      <c r="BD564" s="1826"/>
      <c r="BE564" s="1826"/>
      <c r="BF564" s="1826"/>
      <c r="BG564" s="1639"/>
    </row>
    <row customHeight="1" ht="0.75">
      <c r="A565" s="1170" t="s">
        <v>1269</v>
      </c>
      <c r="B565" s="1170"/>
      <c r="C565" s="1170"/>
      <c r="D565" s="1164"/>
      <c r="E565" s="1174"/>
      <c r="F565" s="2553"/>
      <c r="G565" s="2532"/>
      <c r="H565" s="2557"/>
      <c r="I565" s="2558"/>
      <c r="J565" s="2559"/>
      <c r="K565" s="2559"/>
      <c r="L565" s="2551"/>
      <c r="M565" s="2285"/>
      <c r="N565" s="2560"/>
      <c r="O565" s="2561"/>
      <c r="P565" s="2606"/>
      <c r="Q565" s="2556"/>
      <c r="R565" s="2556"/>
      <c r="S565" s="2556"/>
      <c r="T565" s="2556"/>
      <c r="U565" s="2556"/>
      <c r="V565" s="2556"/>
      <c r="W565" s="2556"/>
      <c r="X565" s="2556"/>
      <c r="Y565" s="2556"/>
      <c r="Z565" s="2042"/>
      <c r="AA565" s="2043"/>
      <c r="AB565" s="2044"/>
      <c r="AC565" s="2045"/>
      <c r="AD565" s="2044"/>
      <c r="AE565" s="2045"/>
      <c r="AF565" s="2555"/>
      <c r="AG565" s="2551"/>
      <c r="AH565" s="2551"/>
      <c r="AI565" s="2555"/>
      <c r="AJ565" s="2551"/>
      <c r="AK565" s="2551"/>
      <c r="AL565" s="1989"/>
      <c r="AM565" s="1826"/>
      <c r="AN565" s="1826"/>
      <c r="AO565" s="1826"/>
      <c r="AP565" s="1826"/>
      <c r="AQ565" s="1826"/>
      <c r="AR565" s="1826"/>
      <c r="AS565" s="1826"/>
      <c r="AT565" s="1826"/>
      <c r="AU565" s="1826"/>
      <c r="AV565" s="1826"/>
      <c r="AW565" s="1826"/>
      <c r="AX565" s="1826"/>
      <c r="AY565" s="1826"/>
      <c r="AZ565" s="1826"/>
      <c r="BA565" s="1826"/>
      <c r="BB565" s="1826"/>
      <c r="BC565" s="1826"/>
      <c r="BD565" s="1826"/>
      <c r="BE565" s="1826"/>
      <c r="BF565" s="1826"/>
      <c r="BG565" s="1639"/>
    </row>
    <row customHeight="1" ht="0.75">
      <c r="A566" s="1170" t="s">
        <v>1269</v>
      </c>
      <c r="B566" s="1170"/>
      <c r="C566" s="1170"/>
      <c r="D566" s="1164"/>
      <c r="E566" s="1174"/>
      <c r="F566" s="2553"/>
      <c r="G566" s="2532"/>
      <c r="H566" s="2557"/>
      <c r="I566" s="2558"/>
      <c r="J566" s="2559"/>
      <c r="K566" s="2559"/>
      <c r="L566" s="2551"/>
      <c r="M566" s="2285"/>
      <c r="N566" s="2560"/>
      <c r="O566" s="2561"/>
      <c r="P566" s="2607"/>
      <c r="Q566" s="2556"/>
      <c r="R566" s="2556"/>
      <c r="S566" s="2556"/>
      <c r="T566" s="2556"/>
      <c r="U566" s="2556"/>
      <c r="V566" s="2556"/>
      <c r="W566" s="2556"/>
      <c r="X566" s="2556"/>
      <c r="Y566" s="2556"/>
      <c r="Z566" s="2038"/>
      <c r="AA566" s="2039"/>
      <c r="AB566" s="2046"/>
      <c r="AC566" s="2040"/>
      <c r="AD566" s="2040"/>
      <c r="AE566" s="2047"/>
      <c r="AF566" s="2555"/>
      <c r="AG566" s="2551"/>
      <c r="AH566" s="2551"/>
      <c r="AI566" s="2555"/>
      <c r="AJ566" s="2551"/>
      <c r="AK566" s="2551"/>
      <c r="AL566" s="1989"/>
      <c r="AM566" s="1826"/>
      <c r="AN566" s="1826"/>
      <c r="AO566" s="1826"/>
      <c r="AP566" s="1826"/>
      <c r="AQ566" s="1826"/>
      <c r="AR566" s="1826"/>
      <c r="AS566" s="1826"/>
      <c r="AT566" s="1826"/>
      <c r="AU566" s="1826"/>
      <c r="AV566" s="1826"/>
      <c r="AW566" s="1826"/>
      <c r="AX566" s="1826"/>
      <c r="AY566" s="1826"/>
      <c r="AZ566" s="1826"/>
      <c r="BA566" s="1826"/>
      <c r="BB566" s="1826"/>
      <c r="BC566" s="1826"/>
      <c r="BD566" s="1826"/>
      <c r="BE566" s="1826"/>
      <c r="BF566" s="1826"/>
      <c r="BG566" s="1639"/>
    </row>
    <row customHeight="1" ht="0.75">
      <c r="A567" s="1170" t="s">
        <v>1269</v>
      </c>
      <c r="B567" s="1170"/>
      <c r="C567" s="1170"/>
      <c r="D567" s="1164"/>
      <c r="E567" s="1174"/>
      <c r="F567" s="2553"/>
      <c r="G567" s="2532"/>
      <c r="H567" s="2557"/>
      <c r="I567" s="2558"/>
      <c r="J567" s="2559"/>
      <c r="K567" s="2559"/>
      <c r="L567" s="2551"/>
      <c r="M567" s="2285"/>
      <c r="N567" s="2039"/>
      <c r="O567" s="2039"/>
      <c r="P567" s="2046"/>
      <c r="Q567" s="2039"/>
      <c r="R567" s="2039"/>
      <c r="S567" s="2039"/>
      <c r="T567" s="2039"/>
      <c r="U567" s="2039"/>
      <c r="V567" s="2039"/>
      <c r="W567" s="2039"/>
      <c r="X567" s="2039"/>
      <c r="Y567" s="2039"/>
      <c r="Z567" s="2039"/>
      <c r="AA567" s="2039"/>
      <c r="AB567" s="2039"/>
      <c r="AC567" s="2039"/>
      <c r="AD567" s="2039"/>
      <c r="AE567" s="2048"/>
      <c r="AF567" s="2555"/>
      <c r="AG567" s="2551"/>
      <c r="AH567" s="2551"/>
      <c r="AI567" s="2555"/>
      <c r="AJ567" s="2551"/>
      <c r="AK567" s="2551"/>
      <c r="AL567" s="1989"/>
      <c r="AM567" s="1826"/>
      <c r="AN567" s="1826"/>
      <c r="AO567" s="1826"/>
      <c r="AP567" s="1826"/>
      <c r="AQ567" s="1826"/>
      <c r="AR567" s="1826"/>
      <c r="AS567" s="1826"/>
      <c r="AT567" s="1826"/>
      <c r="AU567" s="1826"/>
      <c r="AV567" s="1826"/>
      <c r="AW567" s="1826"/>
      <c r="AX567" s="1826"/>
      <c r="AY567" s="1826"/>
      <c r="AZ567" s="1826"/>
      <c r="BA567" s="1826"/>
      <c r="BB567" s="1826"/>
      <c r="BC567" s="1826"/>
      <c r="BD567" s="1826"/>
      <c r="BE567" s="1826"/>
      <c r="BF567" s="1826"/>
      <c r="BG567" s="1639"/>
    </row>
    <row customHeight="1" ht="12">
      <c r="A568" s="1170" t="s">
        <v>1269</v>
      </c>
      <c r="B568" s="1170"/>
      <c r="C568" s="1170"/>
      <c r="D568" s="1164"/>
      <c r="E568" s="1174"/>
      <c r="F568" s="2554"/>
      <c r="G568" s="1194"/>
      <c r="H568" s="1194"/>
      <c r="I568" s="2552" t="s">
        <v>1300</v>
      </c>
      <c r="J568" s="2552"/>
      <c r="K568" s="2552"/>
      <c r="L568" s="1177"/>
      <c r="M568" s="1177"/>
      <c r="N568" s="1178"/>
      <c r="O568" s="1178"/>
      <c r="P568" s="1178"/>
      <c r="Q568" s="1178"/>
      <c r="R568" s="1178"/>
      <c r="S568" s="1178"/>
      <c r="T568" s="1178"/>
      <c r="U568" s="1178"/>
      <c r="V568" s="1178"/>
      <c r="W568" s="1178"/>
      <c r="X568" s="1178"/>
      <c r="Y568" s="1178"/>
      <c r="Z568" s="1178"/>
      <c r="AA568" s="1178"/>
      <c r="AB568" s="1178"/>
      <c r="AC568" s="1178"/>
      <c r="AD568" s="1178"/>
      <c r="AE568" s="1178"/>
      <c r="AF568" s="1178"/>
      <c r="AG568" s="1177"/>
      <c r="AH568" s="1177"/>
      <c r="AI568" s="1178"/>
      <c r="AJ568" s="1177"/>
      <c r="AK568" s="1178"/>
      <c r="AL568" s="1989"/>
      <c r="AM568" s="1826"/>
      <c r="AN568" s="1826"/>
      <c r="AO568" s="1826"/>
      <c r="AP568" s="1826"/>
      <c r="AQ568" s="1826"/>
      <c r="AR568" s="1826"/>
      <c r="AS568" s="1826"/>
      <c r="AT568" s="1826"/>
      <c r="AU568" s="1826"/>
      <c r="AV568" s="1826"/>
      <c r="AW568" s="1826"/>
      <c r="AX568" s="1826"/>
      <c r="AY568" s="1826"/>
      <c r="AZ568" s="1826"/>
      <c r="BA568" s="1826"/>
      <c r="BB568" s="1826"/>
      <c r="BC568" s="1826"/>
      <c r="BD568" s="1826"/>
      <c r="BE568" s="1826"/>
      <c r="BF568" s="1826"/>
      <c r="BG568" s="1639"/>
    </row>
    <row customHeight="1" ht="0.75">
      <c r="A569" s="1170" t="s">
        <v>1269</v>
      </c>
      <c r="B569" s="1170"/>
      <c r="C569" s="1170"/>
      <c r="D569" s="1164"/>
      <c r="E569" s="1174"/>
      <c r="F569" s="2553">
        <v>2026</v>
      </c>
      <c r="G569" s="2532"/>
      <c r="H569" s="2557" t="s">
        <v>514</v>
      </c>
      <c r="I569" s="2558"/>
      <c r="J569" s="2559"/>
      <c r="K569" s="2559"/>
      <c r="L569" s="2551"/>
      <c r="M569" s="2285"/>
      <c r="N569" s="2037"/>
      <c r="O569" s="2036"/>
      <c r="P569" s="2037"/>
      <c r="Q569" s="2037"/>
      <c r="R569" s="2037"/>
      <c r="S569" s="2037"/>
      <c r="T569" s="2037"/>
      <c r="U569" s="2037"/>
      <c r="V569" s="2037"/>
      <c r="W569" s="2037"/>
      <c r="X569" s="2037"/>
      <c r="Y569" s="2037"/>
      <c r="Z569" s="2037"/>
      <c r="AA569" s="2037"/>
      <c r="AB569" s="2037"/>
      <c r="AC569" s="2037"/>
      <c r="AD569" s="2037"/>
      <c r="AE569" s="2037"/>
      <c r="AF569" s="2555"/>
      <c r="AG569" s="2551"/>
      <c r="AH569" s="2551"/>
      <c r="AI569" s="2555"/>
      <c r="AJ569" s="2551"/>
      <c r="AK569" s="2551"/>
      <c r="AL569" s="1989"/>
      <c r="AM569" s="1826"/>
      <c r="AN569" s="1826"/>
      <c r="AO569" s="1826"/>
      <c r="AP569" s="1826"/>
      <c r="AQ569" s="1826"/>
      <c r="AR569" s="1826"/>
      <c r="AS569" s="1826"/>
      <c r="AT569" s="1826"/>
      <c r="AU569" s="1826"/>
      <c r="AV569" s="1826"/>
      <c r="AW569" s="1826"/>
      <c r="AX569" s="1826"/>
      <c r="AY569" s="1826"/>
      <c r="AZ569" s="1826"/>
      <c r="BA569" s="1826"/>
      <c r="BB569" s="1826"/>
      <c r="BC569" s="1826"/>
      <c r="BD569" s="1826"/>
      <c r="BE569" s="1826"/>
      <c r="BF569" s="1826"/>
      <c r="BG569" s="1639"/>
    </row>
    <row customHeight="1" ht="0.75">
      <c r="A570" s="1170" t="s">
        <v>1269</v>
      </c>
      <c r="B570" s="1170"/>
      <c r="C570" s="1170"/>
      <c r="D570" s="1164"/>
      <c r="E570" s="1174"/>
      <c r="F570" s="2553"/>
      <c r="G570" s="2532"/>
      <c r="H570" s="2557"/>
      <c r="I570" s="2558"/>
      <c r="J570" s="2559"/>
      <c r="K570" s="2559"/>
      <c r="L570" s="2551"/>
      <c r="M570" s="2285"/>
      <c r="N570" s="2560"/>
      <c r="O570" s="2561"/>
      <c r="P570" s="2605"/>
      <c r="Q570" s="2556"/>
      <c r="R570" s="2556"/>
      <c r="S570" s="2556"/>
      <c r="T570" s="2556"/>
      <c r="U570" s="2556"/>
      <c r="V570" s="2556"/>
      <c r="W570" s="2556"/>
      <c r="X570" s="2556"/>
      <c r="Y570" s="2556"/>
      <c r="Z570" s="2038"/>
      <c r="AA570" s="2039"/>
      <c r="AB570" s="2039"/>
      <c r="AC570" s="2040"/>
      <c r="AD570" s="2040"/>
      <c r="AE570" s="2041"/>
      <c r="AF570" s="2555"/>
      <c r="AG570" s="2551"/>
      <c r="AH570" s="2551"/>
      <c r="AI570" s="2555"/>
      <c r="AJ570" s="2551"/>
      <c r="AK570" s="2551"/>
      <c r="AL570" s="1989"/>
      <c r="AM570" s="1826"/>
      <c r="AN570" s="1826"/>
      <c r="AO570" s="1826"/>
      <c r="AP570" s="1826"/>
      <c r="AQ570" s="1826"/>
      <c r="AR570" s="1826"/>
      <c r="AS570" s="1826"/>
      <c r="AT570" s="1826"/>
      <c r="AU570" s="1826"/>
      <c r="AV570" s="1826"/>
      <c r="AW570" s="1826"/>
      <c r="AX570" s="1826"/>
      <c r="AY570" s="1826"/>
      <c r="AZ570" s="1826"/>
      <c r="BA570" s="1826"/>
      <c r="BB570" s="1826"/>
      <c r="BC570" s="1826"/>
      <c r="BD570" s="1826"/>
      <c r="BE570" s="1826"/>
      <c r="BF570" s="1826"/>
      <c r="BG570" s="1639"/>
    </row>
    <row customHeight="1" ht="0.75">
      <c r="A571" s="1170" t="s">
        <v>1269</v>
      </c>
      <c r="B571" s="1170"/>
      <c r="C571" s="1170"/>
      <c r="D571" s="1164"/>
      <c r="E571" s="1174"/>
      <c r="F571" s="2553"/>
      <c r="G571" s="2532"/>
      <c r="H571" s="2557"/>
      <c r="I571" s="2558"/>
      <c r="J571" s="2559"/>
      <c r="K571" s="2559"/>
      <c r="L571" s="2551"/>
      <c r="M571" s="2285"/>
      <c r="N571" s="2560"/>
      <c r="O571" s="2561"/>
      <c r="P571" s="2606"/>
      <c r="Q571" s="2556"/>
      <c r="R571" s="2556"/>
      <c r="S571" s="2556"/>
      <c r="T571" s="2556"/>
      <c r="U571" s="2556"/>
      <c r="V571" s="2556"/>
      <c r="W571" s="2556"/>
      <c r="X571" s="2556"/>
      <c r="Y571" s="2556"/>
      <c r="Z571" s="2042"/>
      <c r="AA571" s="2043"/>
      <c r="AB571" s="2044"/>
      <c r="AC571" s="2045"/>
      <c r="AD571" s="2044"/>
      <c r="AE571" s="2045"/>
      <c r="AF571" s="2555"/>
      <c r="AG571" s="2551"/>
      <c r="AH571" s="2551"/>
      <c r="AI571" s="2555"/>
      <c r="AJ571" s="2551"/>
      <c r="AK571" s="2551"/>
      <c r="AL571" s="1989"/>
      <c r="AM571" s="1826"/>
      <c r="AN571" s="1826"/>
      <c r="AO571" s="1826"/>
      <c r="AP571" s="1826"/>
      <c r="AQ571" s="1826"/>
      <c r="AR571" s="1826"/>
      <c r="AS571" s="1826"/>
      <c r="AT571" s="1826"/>
      <c r="AU571" s="1826"/>
      <c r="AV571" s="1826"/>
      <c r="AW571" s="1826"/>
      <c r="AX571" s="1826"/>
      <c r="AY571" s="1826"/>
      <c r="AZ571" s="1826"/>
      <c r="BA571" s="1826"/>
      <c r="BB571" s="1826"/>
      <c r="BC571" s="1826"/>
      <c r="BD571" s="1826"/>
      <c r="BE571" s="1826"/>
      <c r="BF571" s="1826"/>
      <c r="BG571" s="1639"/>
    </row>
    <row customHeight="1" ht="0.75">
      <c r="A572" s="1170" t="s">
        <v>1269</v>
      </c>
      <c r="B572" s="1170"/>
      <c r="C572" s="1170"/>
      <c r="D572" s="1164"/>
      <c r="E572" s="1174"/>
      <c r="F572" s="2553"/>
      <c r="G572" s="2532"/>
      <c r="H572" s="2557"/>
      <c r="I572" s="2558"/>
      <c r="J572" s="2559"/>
      <c r="K572" s="2559"/>
      <c r="L572" s="2551"/>
      <c r="M572" s="2285"/>
      <c r="N572" s="2560"/>
      <c r="O572" s="2561"/>
      <c r="P572" s="2607"/>
      <c r="Q572" s="2556"/>
      <c r="R572" s="2556"/>
      <c r="S572" s="2556"/>
      <c r="T572" s="2556"/>
      <c r="U572" s="2556"/>
      <c r="V572" s="2556"/>
      <c r="W572" s="2556"/>
      <c r="X572" s="2556"/>
      <c r="Y572" s="2556"/>
      <c r="Z572" s="2038"/>
      <c r="AA572" s="2039"/>
      <c r="AB572" s="2046"/>
      <c r="AC572" s="2040"/>
      <c r="AD572" s="2040"/>
      <c r="AE572" s="2047"/>
      <c r="AF572" s="2555"/>
      <c r="AG572" s="2551"/>
      <c r="AH572" s="2551"/>
      <c r="AI572" s="2555"/>
      <c r="AJ572" s="2551"/>
      <c r="AK572" s="2551"/>
      <c r="AL572" s="1989"/>
      <c r="AM572" s="1826"/>
      <c r="AN572" s="1826"/>
      <c r="AO572" s="1826"/>
      <c r="AP572" s="1826"/>
      <c r="AQ572" s="1826"/>
      <c r="AR572" s="1826"/>
      <c r="AS572" s="1826"/>
      <c r="AT572" s="1826"/>
      <c r="AU572" s="1826"/>
      <c r="AV572" s="1826"/>
      <c r="AW572" s="1826"/>
      <c r="AX572" s="1826"/>
      <c r="AY572" s="1826"/>
      <c r="AZ572" s="1826"/>
      <c r="BA572" s="1826"/>
      <c r="BB572" s="1826"/>
      <c r="BC572" s="1826"/>
      <c r="BD572" s="1826"/>
      <c r="BE572" s="1826"/>
      <c r="BF572" s="1826"/>
      <c r="BG572" s="1639"/>
    </row>
    <row customHeight="1" ht="0.75">
      <c r="A573" s="1170" t="s">
        <v>1269</v>
      </c>
      <c r="B573" s="1170"/>
      <c r="C573" s="1170"/>
      <c r="D573" s="1164"/>
      <c r="E573" s="1174"/>
      <c r="F573" s="2553"/>
      <c r="G573" s="2532"/>
      <c r="H573" s="2557"/>
      <c r="I573" s="2558"/>
      <c r="J573" s="2559"/>
      <c r="K573" s="2559"/>
      <c r="L573" s="2551"/>
      <c r="M573" s="2285"/>
      <c r="N573" s="2039"/>
      <c r="O573" s="2039"/>
      <c r="P573" s="2046"/>
      <c r="Q573" s="2039"/>
      <c r="R573" s="2039"/>
      <c r="S573" s="2039"/>
      <c r="T573" s="2039"/>
      <c r="U573" s="2039"/>
      <c r="V573" s="2039"/>
      <c r="W573" s="2039"/>
      <c r="X573" s="2039"/>
      <c r="Y573" s="2039"/>
      <c r="Z573" s="2039"/>
      <c r="AA573" s="2039"/>
      <c r="AB573" s="2039"/>
      <c r="AC573" s="2039"/>
      <c r="AD573" s="2039"/>
      <c r="AE573" s="2048"/>
      <c r="AF573" s="2555"/>
      <c r="AG573" s="2551"/>
      <c r="AH573" s="2551"/>
      <c r="AI573" s="2555"/>
      <c r="AJ573" s="2551"/>
      <c r="AK573" s="2551"/>
      <c r="AL573" s="1989"/>
      <c r="AM573" s="1826"/>
      <c r="AN573" s="1826"/>
      <c r="AO573" s="1826"/>
      <c r="AP573" s="1826"/>
      <c r="AQ573" s="1826"/>
      <c r="AR573" s="1826"/>
      <c r="AS573" s="1826"/>
      <c r="AT573" s="1826"/>
      <c r="AU573" s="1826"/>
      <c r="AV573" s="1826"/>
      <c r="AW573" s="1826"/>
      <c r="AX573" s="1826"/>
      <c r="AY573" s="1826"/>
      <c r="AZ573" s="1826"/>
      <c r="BA573" s="1826"/>
      <c r="BB573" s="1826"/>
      <c r="BC573" s="1826"/>
      <c r="BD573" s="1826"/>
      <c r="BE573" s="1826"/>
      <c r="BF573" s="1826"/>
      <c r="BG573" s="1639"/>
    </row>
    <row customHeight="1" ht="12">
      <c r="A574" s="1170" t="s">
        <v>1269</v>
      </c>
      <c r="B574" s="1170"/>
      <c r="C574" s="1170"/>
      <c r="D574" s="1164"/>
      <c r="E574" s="1174"/>
      <c r="F574" s="2554"/>
      <c r="G574" s="1194"/>
      <c r="H574" s="1194"/>
      <c r="I574" s="2552" t="s">
        <v>1300</v>
      </c>
      <c r="J574" s="2552"/>
      <c r="K574" s="2552"/>
      <c r="L574" s="1177"/>
      <c r="M574" s="1177"/>
      <c r="N574" s="1178"/>
      <c r="O574" s="1178"/>
      <c r="P574" s="1178"/>
      <c r="Q574" s="1178"/>
      <c r="R574" s="1178"/>
      <c r="S574" s="1178"/>
      <c r="T574" s="1178"/>
      <c r="U574" s="1178"/>
      <c r="V574" s="1178"/>
      <c r="W574" s="1178"/>
      <c r="X574" s="1178"/>
      <c r="Y574" s="1178"/>
      <c r="Z574" s="1178"/>
      <c r="AA574" s="1178"/>
      <c r="AB574" s="1178"/>
      <c r="AC574" s="1178"/>
      <c r="AD574" s="1178"/>
      <c r="AE574" s="1178"/>
      <c r="AF574" s="1178"/>
      <c r="AG574" s="1177"/>
      <c r="AH574" s="1177"/>
      <c r="AI574" s="1178"/>
      <c r="AJ574" s="1177"/>
      <c r="AK574" s="1178"/>
      <c r="AL574" s="1989"/>
      <c r="AM574" s="1826"/>
      <c r="AN574" s="1826"/>
      <c r="AO574" s="1826"/>
      <c r="AP574" s="1826"/>
      <c r="AQ574" s="1826"/>
      <c r="AR574" s="1826"/>
      <c r="AS574" s="1826"/>
      <c r="AT574" s="1826"/>
      <c r="AU574" s="1826"/>
      <c r="AV574" s="1826"/>
      <c r="AW574" s="1826"/>
      <c r="AX574" s="1826"/>
      <c r="AY574" s="1826"/>
      <c r="AZ574" s="1826"/>
      <c r="BA574" s="1826"/>
      <c r="BB574" s="1826"/>
      <c r="BC574" s="1826"/>
      <c r="BD574" s="1826"/>
      <c r="BE574" s="1826"/>
      <c r="BF574" s="1826"/>
      <c r="BG574" s="1639"/>
    </row>
    <row customHeight="1" ht="10.5">
      <c r="E575" s="911"/>
      <c r="F575" s="922"/>
      <c r="G575" s="922"/>
      <c r="H575" s="1176"/>
      <c r="I575" s="922"/>
      <c r="J575" s="922"/>
      <c r="K575" s="922"/>
      <c r="L575" s="1135"/>
      <c r="M575" s="1135"/>
      <c r="N575" s="922"/>
      <c r="O575" s="922"/>
      <c r="P575" s="922"/>
      <c r="Q575" s="922"/>
      <c r="R575" s="922"/>
      <c r="S575" s="922"/>
      <c r="T575" s="922"/>
      <c r="U575" s="922"/>
      <c r="V575" s="922"/>
      <c r="W575" s="922"/>
      <c r="X575" s="922"/>
      <c r="Y575" s="922"/>
      <c r="Z575" s="922"/>
      <c r="AA575" s="922"/>
      <c r="AB575" s="922"/>
      <c r="AC575" s="922"/>
      <c r="AD575" s="1135"/>
      <c r="AE575" s="922"/>
      <c r="AF575" s="922"/>
      <c r="AG575" s="922"/>
      <c r="AH575" s="1153"/>
      <c r="AI575" s="1146"/>
      <c r="AJ575" s="922"/>
      <c r="AK575" s="922"/>
      <c r="AL575" s="911"/>
      <c r="AM575" s="911"/>
      <c r="AN575" s="911"/>
      <c r="AO575" s="911"/>
      <c r="AP575" s="911"/>
      <c r="AQ575" s="911"/>
      <c r="AR575" s="911"/>
      <c r="AS575" s="911"/>
      <c r="AT575" s="911"/>
      <c r="AU575" s="911"/>
      <c r="AV575" s="911"/>
      <c r="AW575" s="911"/>
      <c r="AX575" s="911"/>
      <c r="AY575" s="911"/>
      <c r="AZ575" s="911"/>
      <c r="BA575" s="911"/>
      <c r="BB575" s="911"/>
      <c r="BC575" s="911"/>
      <c r="BD575" s="911"/>
      <c r="BE575" s="911"/>
      <c r="BF575" s="911"/>
      <c r="BG575" s="762">
        <v>10</v>
      </c>
    </row>
    <row customHeight="1" ht="13.5">
      <c r="E576" s="911"/>
      <c r="F576" s="918" t="s">
        <v>1345</v>
      </c>
      <c r="G576" s="918"/>
      <c r="H576" s="1175"/>
      <c r="I576" s="918"/>
      <c r="J576" s="918"/>
      <c r="K576" s="915"/>
      <c r="L576" s="1131"/>
      <c r="M576" s="1131"/>
      <c r="N576" s="917"/>
      <c r="O576" s="917"/>
      <c r="P576" s="917"/>
      <c r="Q576" s="917"/>
      <c r="R576" s="917"/>
      <c r="S576" s="917"/>
      <c r="T576" s="917"/>
      <c r="U576" s="917"/>
      <c r="V576" s="917"/>
      <c r="W576" s="917"/>
      <c r="X576" s="917"/>
      <c r="Y576" s="917"/>
      <c r="Z576" s="915"/>
      <c r="AA576" s="915"/>
      <c r="AB576" s="915"/>
      <c r="AC576" s="915"/>
      <c r="AD576" s="1131"/>
      <c r="AE576" s="915"/>
      <c r="AF576" s="915"/>
      <c r="AG576" s="915"/>
      <c r="AH576" s="1150"/>
      <c r="AI576" s="1143"/>
      <c r="AJ576" s="915"/>
      <c r="AK576" s="915"/>
      <c r="AL576" s="911"/>
      <c r="AM576" s="911"/>
      <c r="AN576" s="911"/>
      <c r="AO576" s="911"/>
      <c r="AP576" s="911"/>
      <c r="AQ576" s="911"/>
      <c r="AR576" s="911"/>
      <c r="AS576" s="911"/>
      <c r="AT576" s="911"/>
      <c r="AU576" s="911"/>
      <c r="AV576" s="911"/>
      <c r="AW576" s="911"/>
      <c r="AX576" s="911"/>
      <c r="AY576" s="911"/>
      <c r="AZ576" s="911"/>
      <c r="BA576" s="911"/>
      <c r="BB576" s="911"/>
      <c r="BC576" s="911"/>
      <c r="BD576" s="911"/>
      <c r="BE576" s="911"/>
      <c r="BF576" s="911"/>
      <c r="BG576" s="762">
        <v>13</v>
      </c>
    </row>
    <row customHeight="1" ht="10.5">
      <c r="BG577" s="762">
        <v>10</v>
      </c>
    </row>
    <row customHeight="1" ht="10.5">
      <c r="E578" s="911"/>
      <c r="F578" s="2424"/>
      <c r="G578" s="2424"/>
      <c r="H578" s="2424"/>
      <c r="I578" s="2424"/>
      <c r="J578" s="2424"/>
      <c r="K578" s="915"/>
      <c r="L578" s="1131"/>
      <c r="M578" s="1131"/>
      <c r="N578" s="917"/>
      <c r="O578" s="917"/>
      <c r="P578" s="917"/>
      <c r="Q578" s="917"/>
      <c r="R578" s="917"/>
      <c r="S578" s="917"/>
      <c r="T578" s="917"/>
      <c r="U578" s="917"/>
      <c r="V578" s="917"/>
      <c r="W578" s="917"/>
      <c r="X578" s="917"/>
      <c r="Y578" s="917"/>
      <c r="Z578" s="915"/>
      <c r="AA578" s="915"/>
      <c r="AB578" s="915"/>
      <c r="AC578" s="915"/>
      <c r="AD578" s="1131"/>
      <c r="AE578" s="915"/>
      <c r="AF578" s="915"/>
      <c r="AG578" s="915"/>
      <c r="AH578" s="1150"/>
      <c r="AI578" s="1143"/>
      <c r="AJ578" s="915"/>
      <c r="AK578" s="915"/>
      <c r="AL578" s="911"/>
      <c r="AM578" s="911"/>
      <c r="AN578" s="911"/>
      <c r="AO578" s="911"/>
      <c r="AP578" s="911"/>
      <c r="AQ578" s="911"/>
      <c r="AR578" s="911"/>
      <c r="AS578" s="911"/>
      <c r="AT578" s="911"/>
      <c r="AU578" s="911"/>
      <c r="AV578" s="911"/>
      <c r="AW578" s="911"/>
      <c r="AX578" s="911"/>
      <c r="AY578" s="911"/>
      <c r="AZ578" s="911"/>
      <c r="BA578" s="911"/>
      <c r="BB578" s="911"/>
      <c r="BC578" s="911"/>
      <c r="BD578" s="911"/>
      <c r="BE578" s="911"/>
      <c r="BF578" s="911"/>
      <c r="BG578" s="762">
        <v>10</v>
      </c>
    </row>
    <row customHeight="1" ht="10.5">
      <c r="E579" s="911"/>
      <c r="F579" s="2424"/>
      <c r="G579" s="2424"/>
      <c r="H579" s="2424"/>
      <c r="I579" s="2424"/>
      <c r="J579" s="2424"/>
      <c r="K579" s="915"/>
      <c r="L579" s="1131"/>
      <c r="M579" s="1131"/>
      <c r="N579" s="917"/>
      <c r="O579" s="917"/>
      <c r="P579" s="917"/>
      <c r="Q579" s="917"/>
      <c r="R579" s="917"/>
      <c r="S579" s="917"/>
      <c r="T579" s="917"/>
      <c r="U579" s="917"/>
      <c r="V579" s="917"/>
      <c r="W579" s="917"/>
      <c r="X579" s="917"/>
      <c r="Y579" s="917"/>
      <c r="Z579" s="915"/>
      <c r="AA579" s="915"/>
      <c r="AB579" s="915"/>
      <c r="AC579" s="915"/>
      <c r="AD579" s="1131"/>
      <c r="AE579" s="915"/>
      <c r="AF579" s="915"/>
      <c r="AG579" s="915"/>
      <c r="AH579" s="1150"/>
      <c r="AI579" s="1143"/>
      <c r="AJ579" s="915"/>
      <c r="AK579" s="915"/>
      <c r="AL579" s="911"/>
      <c r="AM579" s="911"/>
      <c r="AN579" s="911"/>
      <c r="AO579" s="911"/>
      <c r="AP579" s="911"/>
      <c r="AQ579" s="911"/>
      <c r="AR579" s="911"/>
      <c r="AS579" s="911"/>
      <c r="AT579" s="911"/>
      <c r="AU579" s="911"/>
      <c r="AV579" s="911"/>
      <c r="AW579" s="911"/>
      <c r="AX579" s="911"/>
      <c r="AY579" s="911"/>
      <c r="AZ579" s="911"/>
      <c r="BA579" s="911"/>
      <c r="BB579" s="911"/>
      <c r="BC579" s="911"/>
      <c r="BD579" s="911"/>
      <c r="BE579" s="911"/>
      <c r="BF579" s="911"/>
      <c r="BG579" s="762">
        <v>10</v>
      </c>
    </row>
    <row customHeight="1" ht="10.5">
      <c r="E580" s="911"/>
      <c r="F580" s="2424"/>
      <c r="G580" s="2424"/>
      <c r="H580" s="2424"/>
      <c r="I580" s="2424"/>
      <c r="J580" s="2424"/>
      <c r="K580" s="915"/>
      <c r="L580" s="1131"/>
      <c r="M580" s="1131"/>
      <c r="N580" s="917"/>
      <c r="O580" s="917"/>
      <c r="P580" s="917"/>
      <c r="Q580" s="917"/>
      <c r="R580" s="917"/>
      <c r="S580" s="917"/>
      <c r="T580" s="917"/>
      <c r="U580" s="917"/>
      <c r="V580" s="917"/>
      <c r="W580" s="917"/>
      <c r="X580" s="917"/>
      <c r="Y580" s="917"/>
      <c r="Z580" s="915"/>
      <c r="AA580" s="915"/>
      <c r="AB580" s="915"/>
      <c r="AC580" s="915"/>
      <c r="AD580" s="1131"/>
      <c r="AE580" s="915"/>
      <c r="AF580" s="915"/>
      <c r="AG580" s="915"/>
      <c r="AH580" s="1150"/>
      <c r="AI580" s="1143"/>
      <c r="AJ580" s="915"/>
      <c r="AK580" s="915"/>
      <c r="AL580" s="911"/>
      <c r="AM580" s="911"/>
      <c r="AN580" s="911"/>
      <c r="AO580" s="911"/>
      <c r="AP580" s="911"/>
      <c r="AQ580" s="911"/>
      <c r="AR580" s="911"/>
      <c r="AS580" s="911"/>
      <c r="AT580" s="911"/>
      <c r="AU580" s="911"/>
      <c r="AV580" s="911"/>
      <c r="AW580" s="911"/>
      <c r="AX580" s="911"/>
      <c r="AY580" s="911"/>
      <c r="AZ580" s="911"/>
      <c r="BA580" s="911"/>
      <c r="BB580" s="911"/>
      <c r="BC580" s="911"/>
      <c r="BD580" s="911"/>
      <c r="BE580" s="911"/>
      <c r="BF580" s="911"/>
      <c r="BG580" s="762">
        <v>10</v>
      </c>
    </row>
    <row customHeight="1" ht="10.5" hidden="1">
      <c r="A581" s="899" t="s">
        <v>81</v>
      </c>
      <c r="B581" s="899">
        <v>0</v>
      </c>
      <c r="C581" s="899">
        <v>0</v>
      </c>
      <c r="D581" s="421">
        <v>0</v>
      </c>
      <c r="E581" s="513">
        <v>3</v>
      </c>
      <c r="F581" s="762">
        <v>14</v>
      </c>
      <c r="G581" s="762">
        <v>3</v>
      </c>
      <c r="H581" s="1159">
        <v>7</v>
      </c>
      <c r="I581" s="762">
        <v>16</v>
      </c>
      <c r="J581" s="762">
        <v>16</v>
      </c>
      <c r="K581" s="762">
        <v>25</v>
      </c>
      <c r="L581" s="1129">
        <v>7</v>
      </c>
      <c r="M581" s="1129">
        <v>15</v>
      </c>
      <c r="N581" s="762">
        <v>3</v>
      </c>
      <c r="O581" s="762">
        <v>4</v>
      </c>
      <c r="P581" s="762">
        <v>8</v>
      </c>
      <c r="Q581" s="762">
        <v>21</v>
      </c>
      <c r="R581" s="762">
        <v>14</v>
      </c>
      <c r="S581" s="762">
        <v>17</v>
      </c>
      <c r="T581" s="762">
        <v>17</v>
      </c>
      <c r="U581" s="762">
        <v>9</v>
      </c>
      <c r="V581" s="762">
        <v>12</v>
      </c>
      <c r="W581" s="762">
        <v>9</v>
      </c>
      <c r="X581" s="762">
        <v>21</v>
      </c>
      <c r="Y581" s="762">
        <v>12</v>
      </c>
      <c r="Z581" s="762">
        <v>3</v>
      </c>
      <c r="AA581" s="762">
        <v>6</v>
      </c>
      <c r="AB581" s="762">
        <v>38</v>
      </c>
      <c r="AC581" s="762">
        <v>15</v>
      </c>
      <c r="AD581" s="1129">
        <v>0</v>
      </c>
      <c r="AE581" s="762">
        <v>0</v>
      </c>
      <c r="AF581" s="762">
        <v>16</v>
      </c>
      <c r="AG581" s="762">
        <v>16</v>
      </c>
      <c r="AH581" s="1148">
        <v>16</v>
      </c>
      <c r="AI581" s="1141">
        <v>0</v>
      </c>
      <c r="AJ581" s="762">
        <v>0</v>
      </c>
      <c r="AK581" s="762">
        <v>0</v>
      </c>
      <c r="AL581" s="762">
        <v>8</v>
      </c>
      <c r="AM581" s="762">
        <v>8</v>
      </c>
      <c r="AN581" s="762">
        <v>8</v>
      </c>
      <c r="AO581" s="762">
        <v>8</v>
      </c>
      <c r="AP581" s="762">
        <v>8</v>
      </c>
      <c r="AQ581" s="762">
        <v>8</v>
      </c>
      <c r="AR581" s="762">
        <v>8</v>
      </c>
      <c r="AS581" s="762">
        <v>8</v>
      </c>
      <c r="AT581" s="762">
        <v>8</v>
      </c>
      <c r="AU581" s="762">
        <v>8</v>
      </c>
      <c r="AV581" s="762">
        <v>8</v>
      </c>
      <c r="AW581" s="762">
        <v>8</v>
      </c>
      <c r="AX581" s="762">
        <v>8</v>
      </c>
      <c r="AY581" s="762">
        <v>8</v>
      </c>
      <c r="AZ581" s="762">
        <v>8</v>
      </c>
      <c r="BA581" s="762">
        <v>8</v>
      </c>
      <c r="BB581" s="762">
        <v>8</v>
      </c>
      <c r="BC581" s="762">
        <v>8</v>
      </c>
      <c r="BD581" s="762">
        <v>8</v>
      </c>
      <c r="BE581" s="762">
        <v>8</v>
      </c>
      <c r="BF581" s="762">
        <v>8</v>
      </c>
      <c r="BG581" s="762">
        <v>10</v>
      </c>
    </row>
  </sheetData>
  <sheetProtection formatColumns="0" formatRows="0" autoFilter="0" sort="0" insertRows="0" insertColumns="1" deleteRows="0" deleteColumns="0"/>
  <mergeCells count="2536">
    <mergeCell ref="AB9:AE10"/>
    <mergeCell ref="S11:Y11"/>
    <mergeCell ref="N10:Y10"/>
    <mergeCell ref="K9:Y9"/>
    <mergeCell ref="N11:O12"/>
    <mergeCell ref="P11:P12"/>
    <mergeCell ref="Q11:Q12"/>
    <mergeCell ref="F580:J58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579:J579"/>
    <mergeCell ref="F578:J578"/>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57:K57"/>
    <mergeCell ref="F27:F57"/>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59:P61"/>
    <mergeCell ref="Q59:Q61"/>
    <mergeCell ref="R59:R61"/>
    <mergeCell ref="G58:G62"/>
    <mergeCell ref="AJ58:AJ62"/>
    <mergeCell ref="AK58:AK62"/>
    <mergeCell ref="I63:K63"/>
    <mergeCell ref="F58:F63"/>
    <mergeCell ref="AF58:AF62"/>
    <mergeCell ref="AG58:AG62"/>
    <mergeCell ref="AH58:AH62"/>
    <mergeCell ref="AI58:AI62"/>
    <mergeCell ref="S59:S61"/>
    <mergeCell ref="T59:T61"/>
    <mergeCell ref="U59:U61"/>
    <mergeCell ref="V59:V61"/>
    <mergeCell ref="W59:W61"/>
    <mergeCell ref="X59:X61"/>
    <mergeCell ref="Y59:Y61"/>
    <mergeCell ref="H58:H62"/>
    <mergeCell ref="I58:I62"/>
    <mergeCell ref="J58:J62"/>
    <mergeCell ref="K58:K62"/>
    <mergeCell ref="L58:L62"/>
    <mergeCell ref="M58:M62"/>
    <mergeCell ref="N59:N61"/>
    <mergeCell ref="O59:O61"/>
    <mergeCell ref="P65:P67"/>
    <mergeCell ref="Q65:Q67"/>
    <mergeCell ref="R65:R67"/>
    <mergeCell ref="G64:G68"/>
    <mergeCell ref="AJ64:AJ68"/>
    <mergeCell ref="AK64:AK68"/>
    <mergeCell ref="I69:K69"/>
    <mergeCell ref="F64:F69"/>
    <mergeCell ref="AF64:AF68"/>
    <mergeCell ref="AG64:AG68"/>
    <mergeCell ref="AH64:AH68"/>
    <mergeCell ref="AI64:AI68"/>
    <mergeCell ref="S65:S67"/>
    <mergeCell ref="T65:T67"/>
    <mergeCell ref="U65:U67"/>
    <mergeCell ref="V65:V67"/>
    <mergeCell ref="W65:W67"/>
    <mergeCell ref="X65:X67"/>
    <mergeCell ref="Y65:Y67"/>
    <mergeCell ref="H64:H68"/>
    <mergeCell ref="I64:I68"/>
    <mergeCell ref="J64:J68"/>
    <mergeCell ref="K64:K68"/>
    <mergeCell ref="L64:L68"/>
    <mergeCell ref="M64:M68"/>
    <mergeCell ref="N65:N67"/>
    <mergeCell ref="O65:O67"/>
    <mergeCell ref="P71:P73"/>
    <mergeCell ref="Q71:Q73"/>
    <mergeCell ref="R71:R73"/>
    <mergeCell ref="G70:G74"/>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P77:P79"/>
    <mergeCell ref="Q77:Q79"/>
    <mergeCell ref="R77:R79"/>
    <mergeCell ref="G76:G80"/>
    <mergeCell ref="AJ76:AJ80"/>
    <mergeCell ref="AK76:AK80"/>
    <mergeCell ref="I81:K81"/>
    <mergeCell ref="F76:F81"/>
    <mergeCell ref="AF76:AF80"/>
    <mergeCell ref="AG76:AG80"/>
    <mergeCell ref="AH76:AH80"/>
    <mergeCell ref="AI76:AI80"/>
    <mergeCell ref="S77:S79"/>
    <mergeCell ref="T77:T79"/>
    <mergeCell ref="U77:U79"/>
    <mergeCell ref="V77:V79"/>
    <mergeCell ref="W77:W79"/>
    <mergeCell ref="X77:X79"/>
    <mergeCell ref="Y77:Y79"/>
    <mergeCell ref="H76:H80"/>
    <mergeCell ref="I76:I80"/>
    <mergeCell ref="J76:J80"/>
    <mergeCell ref="K76:K80"/>
    <mergeCell ref="L76:L80"/>
    <mergeCell ref="M76:M80"/>
    <mergeCell ref="N77:N79"/>
    <mergeCell ref="O77:O79"/>
    <mergeCell ref="P84:P86"/>
    <mergeCell ref="Q84:Q86"/>
    <mergeCell ref="R84:R86"/>
    <mergeCell ref="G83:G87"/>
    <mergeCell ref="AJ83:AJ87"/>
    <mergeCell ref="AK83:AK87"/>
    <mergeCell ref="I88:K88"/>
    <mergeCell ref="F83:F88"/>
    <mergeCell ref="AF83:AF87"/>
    <mergeCell ref="AG83:AG87"/>
    <mergeCell ref="AH83:AH87"/>
    <mergeCell ref="AI83:AI87"/>
    <mergeCell ref="S84:S86"/>
    <mergeCell ref="T84:T86"/>
    <mergeCell ref="U84:U86"/>
    <mergeCell ref="V84:V86"/>
    <mergeCell ref="W84:W86"/>
    <mergeCell ref="X84:X86"/>
    <mergeCell ref="Y84:Y86"/>
    <mergeCell ref="H83:H87"/>
    <mergeCell ref="I83:I87"/>
    <mergeCell ref="J83:J87"/>
    <mergeCell ref="K83:K87"/>
    <mergeCell ref="L83:L87"/>
    <mergeCell ref="M83:M87"/>
    <mergeCell ref="N84:N86"/>
    <mergeCell ref="O84:O86"/>
    <mergeCell ref="P90:P92"/>
    <mergeCell ref="Q90:Q92"/>
    <mergeCell ref="R90:R92"/>
    <mergeCell ref="G89:G93"/>
    <mergeCell ref="AJ89:AJ93"/>
    <mergeCell ref="AK89:AK93"/>
    <mergeCell ref="I94:K94"/>
    <mergeCell ref="F89:F94"/>
    <mergeCell ref="AF89:AF93"/>
    <mergeCell ref="AG89:AG93"/>
    <mergeCell ref="AH89:AH93"/>
    <mergeCell ref="AI89:AI93"/>
    <mergeCell ref="S90:S92"/>
    <mergeCell ref="T90:T92"/>
    <mergeCell ref="U90:U92"/>
    <mergeCell ref="V90:V92"/>
    <mergeCell ref="W90:W92"/>
    <mergeCell ref="X90:X92"/>
    <mergeCell ref="Y90:Y92"/>
    <mergeCell ref="H89:H93"/>
    <mergeCell ref="I89:I93"/>
    <mergeCell ref="J89:J93"/>
    <mergeCell ref="K89:K93"/>
    <mergeCell ref="L89:L93"/>
    <mergeCell ref="M89:M93"/>
    <mergeCell ref="N90:N92"/>
    <mergeCell ref="O90:O92"/>
    <mergeCell ref="P96:P98"/>
    <mergeCell ref="Q96:Q98"/>
    <mergeCell ref="R96:R98"/>
    <mergeCell ref="G95:G99"/>
    <mergeCell ref="AJ95:AJ99"/>
    <mergeCell ref="AK95:AK99"/>
    <mergeCell ref="I100:K100"/>
    <mergeCell ref="F95:F100"/>
    <mergeCell ref="AF95:AF99"/>
    <mergeCell ref="AG95:AG99"/>
    <mergeCell ref="AH95:AH99"/>
    <mergeCell ref="AI95:AI99"/>
    <mergeCell ref="S96:S98"/>
    <mergeCell ref="T96:T98"/>
    <mergeCell ref="U96:U98"/>
    <mergeCell ref="V96:V98"/>
    <mergeCell ref="W96:W98"/>
    <mergeCell ref="X96:X98"/>
    <mergeCell ref="Y96:Y98"/>
    <mergeCell ref="H95:H99"/>
    <mergeCell ref="I95:I99"/>
    <mergeCell ref="J95:J99"/>
    <mergeCell ref="K95:K99"/>
    <mergeCell ref="L95:L99"/>
    <mergeCell ref="M95:M99"/>
    <mergeCell ref="N96:N98"/>
    <mergeCell ref="O96:O98"/>
    <mergeCell ref="P102:P104"/>
    <mergeCell ref="Q102:Q104"/>
    <mergeCell ref="R102:R104"/>
    <mergeCell ref="G101:G105"/>
    <mergeCell ref="AJ101:AJ105"/>
    <mergeCell ref="AK101:AK105"/>
    <mergeCell ref="I106:K106"/>
    <mergeCell ref="F101:F106"/>
    <mergeCell ref="AF101:AF105"/>
    <mergeCell ref="AG101:AG105"/>
    <mergeCell ref="AH101:AH105"/>
    <mergeCell ref="AI101:AI105"/>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N102:N104"/>
    <mergeCell ref="O102:O104"/>
    <mergeCell ref="P108:P110"/>
    <mergeCell ref="Q108:Q110"/>
    <mergeCell ref="R108:R110"/>
    <mergeCell ref="G107:G111"/>
    <mergeCell ref="AJ107:AJ111"/>
    <mergeCell ref="AK107:AK111"/>
    <mergeCell ref="I112:K112"/>
    <mergeCell ref="F107:F11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P114:P116"/>
    <mergeCell ref="Q114:Q116"/>
    <mergeCell ref="R114:R116"/>
    <mergeCell ref="G113:G117"/>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P120:P122"/>
    <mergeCell ref="Q120:Q122"/>
    <mergeCell ref="R120:R122"/>
    <mergeCell ref="G119:G123"/>
    <mergeCell ref="AJ119:AJ123"/>
    <mergeCell ref="AK119:AK123"/>
    <mergeCell ref="I124:K124"/>
    <mergeCell ref="F119:F12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P126:P128"/>
    <mergeCell ref="Q126:Q128"/>
    <mergeCell ref="R126:R128"/>
    <mergeCell ref="G125:G129"/>
    <mergeCell ref="AJ125:AJ129"/>
    <mergeCell ref="AK125:AK129"/>
    <mergeCell ref="I135:K135"/>
    <mergeCell ref="F125:F135"/>
    <mergeCell ref="AF125:AF129"/>
    <mergeCell ref="AG125:AG129"/>
    <mergeCell ref="AH125:AH129"/>
    <mergeCell ref="AI125:AI129"/>
    <mergeCell ref="S126:S128"/>
    <mergeCell ref="T126:T128"/>
    <mergeCell ref="U126:U128"/>
    <mergeCell ref="V126:V128"/>
    <mergeCell ref="W126:W128"/>
    <mergeCell ref="X126:X128"/>
    <mergeCell ref="Y126:Y128"/>
    <mergeCell ref="H125:H129"/>
    <mergeCell ref="I125:I129"/>
    <mergeCell ref="J125:J129"/>
    <mergeCell ref="K125:K129"/>
    <mergeCell ref="L125:L129"/>
    <mergeCell ref="M125:M129"/>
    <mergeCell ref="N126:N128"/>
    <mergeCell ref="O126:O128"/>
    <mergeCell ref="P137:P139"/>
    <mergeCell ref="Q137:Q139"/>
    <mergeCell ref="R137:R139"/>
    <mergeCell ref="G136:G140"/>
    <mergeCell ref="AJ136:AJ140"/>
    <mergeCell ref="AK136:AK140"/>
    <mergeCell ref="I141:K141"/>
    <mergeCell ref="F136:F141"/>
    <mergeCell ref="AF136:AF140"/>
    <mergeCell ref="AG136:AG140"/>
    <mergeCell ref="AH136:AH140"/>
    <mergeCell ref="AI136:AI140"/>
    <mergeCell ref="S137:S139"/>
    <mergeCell ref="T137:T139"/>
    <mergeCell ref="U137:U139"/>
    <mergeCell ref="V137:V139"/>
    <mergeCell ref="W137:W139"/>
    <mergeCell ref="X137:X139"/>
    <mergeCell ref="Y137:Y139"/>
    <mergeCell ref="H136:H140"/>
    <mergeCell ref="I136:I140"/>
    <mergeCell ref="J136:J140"/>
    <mergeCell ref="K136:K140"/>
    <mergeCell ref="L136:L140"/>
    <mergeCell ref="M136:M140"/>
    <mergeCell ref="N137:N139"/>
    <mergeCell ref="O137:O139"/>
    <mergeCell ref="P143:P145"/>
    <mergeCell ref="Q143:Q145"/>
    <mergeCell ref="R143:R145"/>
    <mergeCell ref="G142:G146"/>
    <mergeCell ref="AJ142:AJ146"/>
    <mergeCell ref="AK142:AK146"/>
    <mergeCell ref="I147:K147"/>
    <mergeCell ref="F142:F147"/>
    <mergeCell ref="AF142:AF146"/>
    <mergeCell ref="AG142:AG146"/>
    <mergeCell ref="AH142:AH146"/>
    <mergeCell ref="AI142:AI146"/>
    <mergeCell ref="S143:S145"/>
    <mergeCell ref="T143:T145"/>
    <mergeCell ref="U143:U145"/>
    <mergeCell ref="V143:V145"/>
    <mergeCell ref="W143:W145"/>
    <mergeCell ref="X143:X145"/>
    <mergeCell ref="Y143:Y145"/>
    <mergeCell ref="H142:H146"/>
    <mergeCell ref="I142:I146"/>
    <mergeCell ref="J142:J146"/>
    <mergeCell ref="K142:K146"/>
    <mergeCell ref="L142:L146"/>
    <mergeCell ref="M142:M146"/>
    <mergeCell ref="N143:N145"/>
    <mergeCell ref="O143:O145"/>
    <mergeCell ref="P150:P152"/>
    <mergeCell ref="Q150:Q152"/>
    <mergeCell ref="R150:R152"/>
    <mergeCell ref="G149:G153"/>
    <mergeCell ref="AJ149:AJ153"/>
    <mergeCell ref="AK149:AK153"/>
    <mergeCell ref="I154:K154"/>
    <mergeCell ref="F149:F154"/>
    <mergeCell ref="AF149:AF153"/>
    <mergeCell ref="AG149:AG153"/>
    <mergeCell ref="AH149:AH153"/>
    <mergeCell ref="AI149:AI153"/>
    <mergeCell ref="S150:S152"/>
    <mergeCell ref="T150:T152"/>
    <mergeCell ref="U150:U152"/>
    <mergeCell ref="V150:V152"/>
    <mergeCell ref="W150:W152"/>
    <mergeCell ref="X150:X152"/>
    <mergeCell ref="Y150:Y152"/>
    <mergeCell ref="H149:H153"/>
    <mergeCell ref="I149:I153"/>
    <mergeCell ref="J149:J153"/>
    <mergeCell ref="K149:K153"/>
    <mergeCell ref="L149:L153"/>
    <mergeCell ref="M149:M153"/>
    <mergeCell ref="N150:N152"/>
    <mergeCell ref="O150:O152"/>
    <mergeCell ref="P156:P158"/>
    <mergeCell ref="Q156:Q158"/>
    <mergeCell ref="R156:R158"/>
    <mergeCell ref="G155:G159"/>
    <mergeCell ref="AJ155:AJ159"/>
    <mergeCell ref="AK155:AK159"/>
    <mergeCell ref="I160:K160"/>
    <mergeCell ref="F155:F160"/>
    <mergeCell ref="AF155:AF159"/>
    <mergeCell ref="AG155:AG159"/>
    <mergeCell ref="AH155:AH159"/>
    <mergeCell ref="AI155:AI159"/>
    <mergeCell ref="S156:S158"/>
    <mergeCell ref="T156:T158"/>
    <mergeCell ref="U156:U158"/>
    <mergeCell ref="V156:V158"/>
    <mergeCell ref="W156:W158"/>
    <mergeCell ref="X156:X158"/>
    <mergeCell ref="Y156:Y158"/>
    <mergeCell ref="H155:H159"/>
    <mergeCell ref="I155:I159"/>
    <mergeCell ref="J155:J159"/>
    <mergeCell ref="K155:K159"/>
    <mergeCell ref="L155:L159"/>
    <mergeCell ref="M155:M159"/>
    <mergeCell ref="N156:N158"/>
    <mergeCell ref="O156:O158"/>
    <mergeCell ref="P162:P164"/>
    <mergeCell ref="Q162:Q164"/>
    <mergeCell ref="R162:R164"/>
    <mergeCell ref="G161:G165"/>
    <mergeCell ref="AJ161:AJ165"/>
    <mergeCell ref="AK161:AK165"/>
    <mergeCell ref="I166:K166"/>
    <mergeCell ref="F161:F166"/>
    <mergeCell ref="AF161:AF165"/>
    <mergeCell ref="AG161:AG165"/>
    <mergeCell ref="AH161:AH165"/>
    <mergeCell ref="AI161:AI165"/>
    <mergeCell ref="S162:S164"/>
    <mergeCell ref="T162:T164"/>
    <mergeCell ref="U162:U164"/>
    <mergeCell ref="V162:V164"/>
    <mergeCell ref="W162:W164"/>
    <mergeCell ref="X162:X164"/>
    <mergeCell ref="Y162:Y164"/>
    <mergeCell ref="H161:H165"/>
    <mergeCell ref="I161:I165"/>
    <mergeCell ref="J161:J165"/>
    <mergeCell ref="K161:K165"/>
    <mergeCell ref="L161:L165"/>
    <mergeCell ref="M161:M165"/>
    <mergeCell ref="N162:N164"/>
    <mergeCell ref="O162:O164"/>
    <mergeCell ref="P168:P170"/>
    <mergeCell ref="Q168:Q170"/>
    <mergeCell ref="R168:R170"/>
    <mergeCell ref="G167:G171"/>
    <mergeCell ref="AJ167:AJ171"/>
    <mergeCell ref="AK167:AK171"/>
    <mergeCell ref="I177:K177"/>
    <mergeCell ref="F167:F177"/>
    <mergeCell ref="AF167:AF171"/>
    <mergeCell ref="AG167:AG171"/>
    <mergeCell ref="AH167:AH171"/>
    <mergeCell ref="AI167:AI171"/>
    <mergeCell ref="S168:S170"/>
    <mergeCell ref="T168:T170"/>
    <mergeCell ref="U168:U170"/>
    <mergeCell ref="V168:V170"/>
    <mergeCell ref="W168:W170"/>
    <mergeCell ref="X168:X170"/>
    <mergeCell ref="Y168:Y170"/>
    <mergeCell ref="H167:H171"/>
    <mergeCell ref="I167:I171"/>
    <mergeCell ref="J167:J171"/>
    <mergeCell ref="K167:K171"/>
    <mergeCell ref="L167:L171"/>
    <mergeCell ref="M167:M171"/>
    <mergeCell ref="N168:N170"/>
    <mergeCell ref="O168:O170"/>
    <mergeCell ref="P179:P181"/>
    <mergeCell ref="Q179:Q181"/>
    <mergeCell ref="R179:R181"/>
    <mergeCell ref="G178:G182"/>
    <mergeCell ref="AJ178:AJ182"/>
    <mergeCell ref="AK178:AK182"/>
    <mergeCell ref="I183:K183"/>
    <mergeCell ref="F178:F183"/>
    <mergeCell ref="AF178:AF182"/>
    <mergeCell ref="AG178:AG182"/>
    <mergeCell ref="AH178:AH182"/>
    <mergeCell ref="AI178:AI182"/>
    <mergeCell ref="S179:S181"/>
    <mergeCell ref="T179:T181"/>
    <mergeCell ref="U179:U181"/>
    <mergeCell ref="V179:V181"/>
    <mergeCell ref="W179:W181"/>
    <mergeCell ref="X179:X181"/>
    <mergeCell ref="Y179:Y181"/>
    <mergeCell ref="H178:H182"/>
    <mergeCell ref="I178:I182"/>
    <mergeCell ref="J178:J182"/>
    <mergeCell ref="K178:K182"/>
    <mergeCell ref="L178:L182"/>
    <mergeCell ref="M178:M182"/>
    <mergeCell ref="N179:N181"/>
    <mergeCell ref="O179:O181"/>
    <mergeCell ref="P185:P187"/>
    <mergeCell ref="Q185:Q187"/>
    <mergeCell ref="R185:R187"/>
    <mergeCell ref="G184:G188"/>
    <mergeCell ref="AJ184:AJ188"/>
    <mergeCell ref="AK184:AK188"/>
    <mergeCell ref="I189:K189"/>
    <mergeCell ref="F184:F189"/>
    <mergeCell ref="AF184:AF188"/>
    <mergeCell ref="AG184:AG188"/>
    <mergeCell ref="AH184:AH188"/>
    <mergeCell ref="AI184:AI188"/>
    <mergeCell ref="S185:S187"/>
    <mergeCell ref="T185:T187"/>
    <mergeCell ref="U185:U187"/>
    <mergeCell ref="V185:V187"/>
    <mergeCell ref="W185:W187"/>
    <mergeCell ref="X185:X187"/>
    <mergeCell ref="Y185:Y187"/>
    <mergeCell ref="H184:H188"/>
    <mergeCell ref="I184:I188"/>
    <mergeCell ref="J184:J188"/>
    <mergeCell ref="K184:K188"/>
    <mergeCell ref="L184:L188"/>
    <mergeCell ref="M184:M188"/>
    <mergeCell ref="N185:N187"/>
    <mergeCell ref="O185:O187"/>
    <mergeCell ref="P191:P193"/>
    <mergeCell ref="Q191:Q193"/>
    <mergeCell ref="R191:R193"/>
    <mergeCell ref="G190:G194"/>
    <mergeCell ref="AJ190:AJ194"/>
    <mergeCell ref="AK190:AK194"/>
    <mergeCell ref="I195:K195"/>
    <mergeCell ref="F190:F195"/>
    <mergeCell ref="AF190:AF194"/>
    <mergeCell ref="AG190:AG194"/>
    <mergeCell ref="AH190:AH194"/>
    <mergeCell ref="AI190:AI194"/>
    <mergeCell ref="S191:S193"/>
    <mergeCell ref="T191:T193"/>
    <mergeCell ref="U191:U193"/>
    <mergeCell ref="V191:V193"/>
    <mergeCell ref="W191:W193"/>
    <mergeCell ref="X191:X193"/>
    <mergeCell ref="Y191:Y193"/>
    <mergeCell ref="H190:H194"/>
    <mergeCell ref="I190:I194"/>
    <mergeCell ref="J190:J194"/>
    <mergeCell ref="K190:K194"/>
    <mergeCell ref="L190:L194"/>
    <mergeCell ref="M190:M194"/>
    <mergeCell ref="N191:N193"/>
    <mergeCell ref="O191:O193"/>
    <mergeCell ref="P197:P199"/>
    <mergeCell ref="Q197:Q199"/>
    <mergeCell ref="R197:R199"/>
    <mergeCell ref="G196:G200"/>
    <mergeCell ref="AJ196:AJ200"/>
    <mergeCell ref="AK196:AK200"/>
    <mergeCell ref="I201:K201"/>
    <mergeCell ref="F196:F201"/>
    <mergeCell ref="AF196:AF200"/>
    <mergeCell ref="AG196:AG200"/>
    <mergeCell ref="AH196:AH200"/>
    <mergeCell ref="AI196:AI200"/>
    <mergeCell ref="S197:S199"/>
    <mergeCell ref="T197:T199"/>
    <mergeCell ref="U197:U199"/>
    <mergeCell ref="V197:V199"/>
    <mergeCell ref="W197:W199"/>
    <mergeCell ref="X197:X199"/>
    <mergeCell ref="Y197:Y199"/>
    <mergeCell ref="H196:H200"/>
    <mergeCell ref="I196:I200"/>
    <mergeCell ref="J196:J200"/>
    <mergeCell ref="K196:K200"/>
    <mergeCell ref="L196:L200"/>
    <mergeCell ref="M196:M200"/>
    <mergeCell ref="N197:N199"/>
    <mergeCell ref="O197:O199"/>
    <mergeCell ref="P203:P205"/>
    <mergeCell ref="Q203:Q205"/>
    <mergeCell ref="R203:R205"/>
    <mergeCell ref="G202:G206"/>
    <mergeCell ref="AJ202:AJ206"/>
    <mergeCell ref="AK202:AK206"/>
    <mergeCell ref="I207:K207"/>
    <mergeCell ref="F202:F207"/>
    <mergeCell ref="AF202:AF206"/>
    <mergeCell ref="AG202:AG206"/>
    <mergeCell ref="AH202:AH206"/>
    <mergeCell ref="AI202:AI206"/>
    <mergeCell ref="S203:S205"/>
    <mergeCell ref="T203:T205"/>
    <mergeCell ref="U203:U205"/>
    <mergeCell ref="V203:V205"/>
    <mergeCell ref="W203:W205"/>
    <mergeCell ref="X203:X205"/>
    <mergeCell ref="Y203:Y205"/>
    <mergeCell ref="H202:H206"/>
    <mergeCell ref="I202:I206"/>
    <mergeCell ref="J202:J206"/>
    <mergeCell ref="K202:K206"/>
    <mergeCell ref="L202:L206"/>
    <mergeCell ref="M202:M206"/>
    <mergeCell ref="N203:N205"/>
    <mergeCell ref="O203:O205"/>
    <mergeCell ref="P209:P211"/>
    <mergeCell ref="Q209:Q211"/>
    <mergeCell ref="R209:R211"/>
    <mergeCell ref="G208:G212"/>
    <mergeCell ref="AJ208:AJ212"/>
    <mergeCell ref="AK208:AK212"/>
    <mergeCell ref="I213:K213"/>
    <mergeCell ref="F208:F213"/>
    <mergeCell ref="AF208:AF212"/>
    <mergeCell ref="AG208:AG212"/>
    <mergeCell ref="AH208:AH212"/>
    <mergeCell ref="AI208:AI212"/>
    <mergeCell ref="S209:S211"/>
    <mergeCell ref="T209:T211"/>
    <mergeCell ref="U209:U211"/>
    <mergeCell ref="V209:V211"/>
    <mergeCell ref="W209:W211"/>
    <mergeCell ref="X209:X211"/>
    <mergeCell ref="Y209:Y211"/>
    <mergeCell ref="H208:H212"/>
    <mergeCell ref="I208:I212"/>
    <mergeCell ref="J208:J212"/>
    <mergeCell ref="K208:K212"/>
    <mergeCell ref="L208:L212"/>
    <mergeCell ref="M208:M212"/>
    <mergeCell ref="N209:N211"/>
    <mergeCell ref="O209:O211"/>
    <mergeCell ref="P215:P217"/>
    <mergeCell ref="Q215:Q217"/>
    <mergeCell ref="R215:R217"/>
    <mergeCell ref="G214:G218"/>
    <mergeCell ref="AJ214:AJ218"/>
    <mergeCell ref="AK214:AK218"/>
    <mergeCell ref="I219:K219"/>
    <mergeCell ref="F214:F219"/>
    <mergeCell ref="AF214:AF218"/>
    <mergeCell ref="AG214:AG218"/>
    <mergeCell ref="AH214:AH218"/>
    <mergeCell ref="AI214:AI218"/>
    <mergeCell ref="S215:S217"/>
    <mergeCell ref="T215:T217"/>
    <mergeCell ref="U215:U217"/>
    <mergeCell ref="V215:V217"/>
    <mergeCell ref="W215:W217"/>
    <mergeCell ref="X215:X217"/>
    <mergeCell ref="Y215:Y217"/>
    <mergeCell ref="H214:H218"/>
    <mergeCell ref="I214:I218"/>
    <mergeCell ref="J214:J218"/>
    <mergeCell ref="K214:K218"/>
    <mergeCell ref="L214:L218"/>
    <mergeCell ref="M214:M218"/>
    <mergeCell ref="N215:N217"/>
    <mergeCell ref="O215:O217"/>
    <mergeCell ref="P222:P224"/>
    <mergeCell ref="Q222:Q224"/>
    <mergeCell ref="R222:R224"/>
    <mergeCell ref="G221:G225"/>
    <mergeCell ref="AJ221:AJ225"/>
    <mergeCell ref="AK221:AK225"/>
    <mergeCell ref="I226:K226"/>
    <mergeCell ref="F221:F226"/>
    <mergeCell ref="AF221:AF225"/>
    <mergeCell ref="AG221:AG225"/>
    <mergeCell ref="AH221:AH225"/>
    <mergeCell ref="AI221:AI225"/>
    <mergeCell ref="S222:S224"/>
    <mergeCell ref="T222:T224"/>
    <mergeCell ref="U222:U224"/>
    <mergeCell ref="V222:V224"/>
    <mergeCell ref="W222:W224"/>
    <mergeCell ref="X222:X224"/>
    <mergeCell ref="Y222:Y224"/>
    <mergeCell ref="H221:H225"/>
    <mergeCell ref="I221:I225"/>
    <mergeCell ref="J221:J225"/>
    <mergeCell ref="K221:K225"/>
    <mergeCell ref="L221:L225"/>
    <mergeCell ref="M221:M225"/>
    <mergeCell ref="N222:N224"/>
    <mergeCell ref="O222:O224"/>
    <mergeCell ref="P228:P230"/>
    <mergeCell ref="Q228:Q230"/>
    <mergeCell ref="R228:R230"/>
    <mergeCell ref="G227:G231"/>
    <mergeCell ref="AJ227:AJ231"/>
    <mergeCell ref="AK227:AK231"/>
    <mergeCell ref="I232:K232"/>
    <mergeCell ref="F227:F232"/>
    <mergeCell ref="AF227:AF231"/>
    <mergeCell ref="AG227:AG231"/>
    <mergeCell ref="AH227:AH231"/>
    <mergeCell ref="AI227:AI231"/>
    <mergeCell ref="S228:S230"/>
    <mergeCell ref="T228:T230"/>
    <mergeCell ref="U228:U230"/>
    <mergeCell ref="V228:V230"/>
    <mergeCell ref="W228:W230"/>
    <mergeCell ref="X228:X230"/>
    <mergeCell ref="Y228:Y230"/>
    <mergeCell ref="H227:H231"/>
    <mergeCell ref="I227:I231"/>
    <mergeCell ref="J227:J231"/>
    <mergeCell ref="K227:K231"/>
    <mergeCell ref="L227:L231"/>
    <mergeCell ref="M227:M231"/>
    <mergeCell ref="N228:N230"/>
    <mergeCell ref="O228:O230"/>
    <mergeCell ref="P234:P236"/>
    <mergeCell ref="Q234:Q236"/>
    <mergeCell ref="R234:R236"/>
    <mergeCell ref="G233:G237"/>
    <mergeCell ref="AJ233:AJ237"/>
    <mergeCell ref="AK233:AK237"/>
    <mergeCell ref="I238:K238"/>
    <mergeCell ref="F233:F238"/>
    <mergeCell ref="AF233:AF237"/>
    <mergeCell ref="AG233:AG237"/>
    <mergeCell ref="AH233:AH237"/>
    <mergeCell ref="AI233:AI237"/>
    <mergeCell ref="S234:S236"/>
    <mergeCell ref="T234:T236"/>
    <mergeCell ref="U234:U236"/>
    <mergeCell ref="V234:V236"/>
    <mergeCell ref="W234:W236"/>
    <mergeCell ref="X234:X236"/>
    <mergeCell ref="Y234:Y236"/>
    <mergeCell ref="H233:H237"/>
    <mergeCell ref="I233:I237"/>
    <mergeCell ref="J233:J237"/>
    <mergeCell ref="K233:K237"/>
    <mergeCell ref="L233:L237"/>
    <mergeCell ref="M233:M237"/>
    <mergeCell ref="N234:N236"/>
    <mergeCell ref="O234:O236"/>
    <mergeCell ref="P240:P242"/>
    <mergeCell ref="Q240:Q242"/>
    <mergeCell ref="R240:R242"/>
    <mergeCell ref="G239:G243"/>
    <mergeCell ref="AJ239:AJ243"/>
    <mergeCell ref="AK239:AK243"/>
    <mergeCell ref="I249:K249"/>
    <mergeCell ref="F239:F249"/>
    <mergeCell ref="AF239:AF243"/>
    <mergeCell ref="AG239:AG243"/>
    <mergeCell ref="AH239:AH243"/>
    <mergeCell ref="AI239:AI243"/>
    <mergeCell ref="S240:S242"/>
    <mergeCell ref="T240:T242"/>
    <mergeCell ref="U240:U242"/>
    <mergeCell ref="V240:V242"/>
    <mergeCell ref="W240:W242"/>
    <mergeCell ref="X240:X242"/>
    <mergeCell ref="Y240:Y242"/>
    <mergeCell ref="H239:H243"/>
    <mergeCell ref="I239:I243"/>
    <mergeCell ref="J239:J243"/>
    <mergeCell ref="K239:K243"/>
    <mergeCell ref="L239:L243"/>
    <mergeCell ref="M239:M243"/>
    <mergeCell ref="N240:N242"/>
    <mergeCell ref="O240:O242"/>
    <mergeCell ref="P251:P253"/>
    <mergeCell ref="Q251:Q253"/>
    <mergeCell ref="R251:R253"/>
    <mergeCell ref="G250:G254"/>
    <mergeCell ref="AJ250:AJ254"/>
    <mergeCell ref="AK250:AK254"/>
    <mergeCell ref="I255:K255"/>
    <mergeCell ref="F250:F255"/>
    <mergeCell ref="AF250:AF254"/>
    <mergeCell ref="AG250:AG254"/>
    <mergeCell ref="AH250:AH254"/>
    <mergeCell ref="AI250:AI254"/>
    <mergeCell ref="S251:S253"/>
    <mergeCell ref="T251:T253"/>
    <mergeCell ref="U251:U253"/>
    <mergeCell ref="V251:V253"/>
    <mergeCell ref="W251:W253"/>
    <mergeCell ref="X251:X253"/>
    <mergeCell ref="Y251:Y253"/>
    <mergeCell ref="H250:H254"/>
    <mergeCell ref="I250:I254"/>
    <mergeCell ref="J250:J254"/>
    <mergeCell ref="K250:K254"/>
    <mergeCell ref="L250:L254"/>
    <mergeCell ref="M250:M254"/>
    <mergeCell ref="N251:N253"/>
    <mergeCell ref="O251:O253"/>
    <mergeCell ref="P257:P259"/>
    <mergeCell ref="Q257:Q259"/>
    <mergeCell ref="R257:R259"/>
    <mergeCell ref="G256:G260"/>
    <mergeCell ref="AJ256:AJ260"/>
    <mergeCell ref="AK256:AK260"/>
    <mergeCell ref="I261:K261"/>
    <mergeCell ref="F256:F261"/>
    <mergeCell ref="AF256:AF260"/>
    <mergeCell ref="AG256:AG260"/>
    <mergeCell ref="AH256:AH260"/>
    <mergeCell ref="AI256:AI260"/>
    <mergeCell ref="S257:S259"/>
    <mergeCell ref="T257:T259"/>
    <mergeCell ref="U257:U259"/>
    <mergeCell ref="V257:V259"/>
    <mergeCell ref="W257:W259"/>
    <mergeCell ref="X257:X259"/>
    <mergeCell ref="Y257:Y259"/>
    <mergeCell ref="H256:H260"/>
    <mergeCell ref="I256:I260"/>
    <mergeCell ref="J256:J260"/>
    <mergeCell ref="K256:K260"/>
    <mergeCell ref="L256:L260"/>
    <mergeCell ref="M256:M260"/>
    <mergeCell ref="N257:N259"/>
    <mergeCell ref="O257:O259"/>
    <mergeCell ref="P263:P265"/>
    <mergeCell ref="Q263:Q265"/>
    <mergeCell ref="R263:R265"/>
    <mergeCell ref="G262:G266"/>
    <mergeCell ref="AJ262:AJ266"/>
    <mergeCell ref="AK262:AK266"/>
    <mergeCell ref="I267:K267"/>
    <mergeCell ref="F262:F267"/>
    <mergeCell ref="AF262:AF266"/>
    <mergeCell ref="AG262:AG266"/>
    <mergeCell ref="AH262:AH266"/>
    <mergeCell ref="AI262:AI266"/>
    <mergeCell ref="S263:S265"/>
    <mergeCell ref="T263:T265"/>
    <mergeCell ref="U263:U265"/>
    <mergeCell ref="V263:V265"/>
    <mergeCell ref="W263:W265"/>
    <mergeCell ref="X263:X265"/>
    <mergeCell ref="Y263:Y265"/>
    <mergeCell ref="H262:H266"/>
    <mergeCell ref="I262:I266"/>
    <mergeCell ref="J262:J266"/>
    <mergeCell ref="K262:K266"/>
    <mergeCell ref="L262:L266"/>
    <mergeCell ref="M262:M266"/>
    <mergeCell ref="N263:N265"/>
    <mergeCell ref="O263:O265"/>
    <mergeCell ref="P269:P271"/>
    <mergeCell ref="Q269:Q271"/>
    <mergeCell ref="R269:R271"/>
    <mergeCell ref="G268:G272"/>
    <mergeCell ref="AJ268:AJ272"/>
    <mergeCell ref="AK268:AK272"/>
    <mergeCell ref="I273:K273"/>
    <mergeCell ref="F268:F273"/>
    <mergeCell ref="AF268:AF272"/>
    <mergeCell ref="AG268:AG272"/>
    <mergeCell ref="AH268:AH272"/>
    <mergeCell ref="AI268:AI272"/>
    <mergeCell ref="S269:S271"/>
    <mergeCell ref="T269:T271"/>
    <mergeCell ref="U269:U271"/>
    <mergeCell ref="V269:V271"/>
    <mergeCell ref="W269:W271"/>
    <mergeCell ref="X269:X271"/>
    <mergeCell ref="Y269:Y271"/>
    <mergeCell ref="H268:H272"/>
    <mergeCell ref="I268:I272"/>
    <mergeCell ref="J268:J272"/>
    <mergeCell ref="K268:K272"/>
    <mergeCell ref="L268:L272"/>
    <mergeCell ref="M268:M272"/>
    <mergeCell ref="N269:N271"/>
    <mergeCell ref="O269:O271"/>
    <mergeCell ref="P276:P278"/>
    <mergeCell ref="Q276:Q278"/>
    <mergeCell ref="R276:R278"/>
    <mergeCell ref="G275:G279"/>
    <mergeCell ref="AJ275:AJ279"/>
    <mergeCell ref="AK275:AK279"/>
    <mergeCell ref="I280:K280"/>
    <mergeCell ref="F275:F280"/>
    <mergeCell ref="AF275:AF279"/>
    <mergeCell ref="AG275:AG279"/>
    <mergeCell ref="AH275:AH279"/>
    <mergeCell ref="AI275:AI279"/>
    <mergeCell ref="S276:S278"/>
    <mergeCell ref="T276:T278"/>
    <mergeCell ref="U276:U278"/>
    <mergeCell ref="V276:V278"/>
    <mergeCell ref="W276:W278"/>
    <mergeCell ref="X276:X278"/>
    <mergeCell ref="Y276:Y278"/>
    <mergeCell ref="H275:H279"/>
    <mergeCell ref="I275:I279"/>
    <mergeCell ref="J275:J279"/>
    <mergeCell ref="K275:K279"/>
    <mergeCell ref="L275:L279"/>
    <mergeCell ref="M275:M279"/>
    <mergeCell ref="N276:N278"/>
    <mergeCell ref="O276:O278"/>
    <mergeCell ref="P282:P284"/>
    <mergeCell ref="Q282:Q284"/>
    <mergeCell ref="R282:R284"/>
    <mergeCell ref="G281:G285"/>
    <mergeCell ref="AJ281:AJ285"/>
    <mergeCell ref="AK281:AK285"/>
    <mergeCell ref="I286:K286"/>
    <mergeCell ref="F281:F286"/>
    <mergeCell ref="AF281:AF285"/>
    <mergeCell ref="AG281:AG285"/>
    <mergeCell ref="AH281:AH285"/>
    <mergeCell ref="AI281:AI285"/>
    <mergeCell ref="S282:S284"/>
    <mergeCell ref="T282:T284"/>
    <mergeCell ref="U282:U284"/>
    <mergeCell ref="V282:V284"/>
    <mergeCell ref="W282:W284"/>
    <mergeCell ref="X282:X284"/>
    <mergeCell ref="Y282:Y284"/>
    <mergeCell ref="H281:H285"/>
    <mergeCell ref="I281:I285"/>
    <mergeCell ref="J281:J285"/>
    <mergeCell ref="K281:K285"/>
    <mergeCell ref="L281:L285"/>
    <mergeCell ref="M281:M285"/>
    <mergeCell ref="N282:N284"/>
    <mergeCell ref="O282:O284"/>
    <mergeCell ref="P288:P290"/>
    <mergeCell ref="Q288:Q290"/>
    <mergeCell ref="R288:R290"/>
    <mergeCell ref="G287:G291"/>
    <mergeCell ref="AJ287:AJ291"/>
    <mergeCell ref="AK287:AK291"/>
    <mergeCell ref="I292:K292"/>
    <mergeCell ref="F287:F292"/>
    <mergeCell ref="AF287:AF291"/>
    <mergeCell ref="AG287:AG291"/>
    <mergeCell ref="AH287:AH291"/>
    <mergeCell ref="AI287:AI291"/>
    <mergeCell ref="S288:S290"/>
    <mergeCell ref="T288:T290"/>
    <mergeCell ref="U288:U290"/>
    <mergeCell ref="V288:V290"/>
    <mergeCell ref="W288:W290"/>
    <mergeCell ref="X288:X290"/>
    <mergeCell ref="Y288:Y290"/>
    <mergeCell ref="H287:H291"/>
    <mergeCell ref="I287:I291"/>
    <mergeCell ref="J287:J291"/>
    <mergeCell ref="K287:K291"/>
    <mergeCell ref="L287:L291"/>
    <mergeCell ref="M287:M291"/>
    <mergeCell ref="N288:N290"/>
    <mergeCell ref="O288:O290"/>
    <mergeCell ref="P294:P296"/>
    <mergeCell ref="Q294:Q296"/>
    <mergeCell ref="R294:R296"/>
    <mergeCell ref="G293:G297"/>
    <mergeCell ref="AJ293:AJ297"/>
    <mergeCell ref="AK293:AK297"/>
    <mergeCell ref="I303:K303"/>
    <mergeCell ref="F293:F303"/>
    <mergeCell ref="AF293:AF297"/>
    <mergeCell ref="AG293:AG297"/>
    <mergeCell ref="AH293:AH297"/>
    <mergeCell ref="AI293:AI297"/>
    <mergeCell ref="S294:S296"/>
    <mergeCell ref="T294:T296"/>
    <mergeCell ref="U294:U296"/>
    <mergeCell ref="V294:V296"/>
    <mergeCell ref="W294:W296"/>
    <mergeCell ref="X294:X296"/>
    <mergeCell ref="Y294:Y296"/>
    <mergeCell ref="H293:H297"/>
    <mergeCell ref="I293:I297"/>
    <mergeCell ref="J293:J297"/>
    <mergeCell ref="K293:K297"/>
    <mergeCell ref="L293:L297"/>
    <mergeCell ref="M293:M297"/>
    <mergeCell ref="N294:N296"/>
    <mergeCell ref="O294:O296"/>
    <mergeCell ref="P305:P307"/>
    <mergeCell ref="Q305:Q307"/>
    <mergeCell ref="R305:R307"/>
    <mergeCell ref="G304:G308"/>
    <mergeCell ref="AJ304:AJ308"/>
    <mergeCell ref="AK304:AK308"/>
    <mergeCell ref="I309:K309"/>
    <mergeCell ref="F304:F309"/>
    <mergeCell ref="AF304:AF308"/>
    <mergeCell ref="AG304:AG308"/>
    <mergeCell ref="AH304:AH308"/>
    <mergeCell ref="AI304:AI308"/>
    <mergeCell ref="S305:S307"/>
    <mergeCell ref="T305:T307"/>
    <mergeCell ref="U305:U307"/>
    <mergeCell ref="V305:V307"/>
    <mergeCell ref="W305:W307"/>
    <mergeCell ref="X305:X307"/>
    <mergeCell ref="Y305:Y307"/>
    <mergeCell ref="H304:H308"/>
    <mergeCell ref="I304:I308"/>
    <mergeCell ref="J304:J308"/>
    <mergeCell ref="K304:K308"/>
    <mergeCell ref="L304:L308"/>
    <mergeCell ref="M304:M308"/>
    <mergeCell ref="N305:N307"/>
    <mergeCell ref="O305:O307"/>
    <mergeCell ref="P311:P313"/>
    <mergeCell ref="Q311:Q313"/>
    <mergeCell ref="R311:R313"/>
    <mergeCell ref="G310:G314"/>
    <mergeCell ref="AJ310:AJ314"/>
    <mergeCell ref="AK310:AK314"/>
    <mergeCell ref="I315:K315"/>
    <mergeCell ref="F310:F315"/>
    <mergeCell ref="AF310:AF314"/>
    <mergeCell ref="AG310:AG314"/>
    <mergeCell ref="AH310:AH314"/>
    <mergeCell ref="AI310:AI314"/>
    <mergeCell ref="S311:S313"/>
    <mergeCell ref="T311:T313"/>
    <mergeCell ref="U311:U313"/>
    <mergeCell ref="V311:V313"/>
    <mergeCell ref="W311:W313"/>
    <mergeCell ref="X311:X313"/>
    <mergeCell ref="Y311:Y313"/>
    <mergeCell ref="H310:H314"/>
    <mergeCell ref="I310:I314"/>
    <mergeCell ref="J310:J314"/>
    <mergeCell ref="K310:K314"/>
    <mergeCell ref="L310:L314"/>
    <mergeCell ref="M310:M314"/>
    <mergeCell ref="N311:N313"/>
    <mergeCell ref="O311:O313"/>
    <mergeCell ref="P317:P319"/>
    <mergeCell ref="Q317:Q319"/>
    <mergeCell ref="R317:R319"/>
    <mergeCell ref="G316:G320"/>
    <mergeCell ref="AJ316:AJ320"/>
    <mergeCell ref="AK316:AK320"/>
    <mergeCell ref="I321:K321"/>
    <mergeCell ref="F316:F321"/>
    <mergeCell ref="AF316:AF320"/>
    <mergeCell ref="AG316:AG320"/>
    <mergeCell ref="AH316:AH320"/>
    <mergeCell ref="AI316:AI320"/>
    <mergeCell ref="S317:S319"/>
    <mergeCell ref="T317:T319"/>
    <mergeCell ref="U317:U319"/>
    <mergeCell ref="V317:V319"/>
    <mergeCell ref="W317:W319"/>
    <mergeCell ref="X317:X319"/>
    <mergeCell ref="Y317:Y319"/>
    <mergeCell ref="H316:H320"/>
    <mergeCell ref="I316:I320"/>
    <mergeCell ref="J316:J320"/>
    <mergeCell ref="K316:K320"/>
    <mergeCell ref="L316:L320"/>
    <mergeCell ref="M316:M320"/>
    <mergeCell ref="N317:N319"/>
    <mergeCell ref="O317:O319"/>
    <mergeCell ref="P323:P325"/>
    <mergeCell ref="Q323:Q325"/>
    <mergeCell ref="R323:R325"/>
    <mergeCell ref="G322:G326"/>
    <mergeCell ref="AJ322:AJ326"/>
    <mergeCell ref="AK322:AK326"/>
    <mergeCell ref="I327:K327"/>
    <mergeCell ref="F322:F327"/>
    <mergeCell ref="AF322:AF326"/>
    <mergeCell ref="AG322:AG326"/>
    <mergeCell ref="AH322:AH326"/>
    <mergeCell ref="AI322:AI326"/>
    <mergeCell ref="S323:S325"/>
    <mergeCell ref="T323:T325"/>
    <mergeCell ref="U323:U325"/>
    <mergeCell ref="V323:V325"/>
    <mergeCell ref="W323:W325"/>
    <mergeCell ref="X323:X325"/>
    <mergeCell ref="Y323:Y325"/>
    <mergeCell ref="H322:H326"/>
    <mergeCell ref="I322:I326"/>
    <mergeCell ref="J322:J326"/>
    <mergeCell ref="K322:K326"/>
    <mergeCell ref="L322:L326"/>
    <mergeCell ref="M322:M326"/>
    <mergeCell ref="N323:N325"/>
    <mergeCell ref="O323:O325"/>
    <mergeCell ref="P330:P332"/>
    <mergeCell ref="Q330:Q332"/>
    <mergeCell ref="R330:R332"/>
    <mergeCell ref="G329:G333"/>
    <mergeCell ref="AJ329:AJ333"/>
    <mergeCell ref="AK329:AK333"/>
    <mergeCell ref="I334:K334"/>
    <mergeCell ref="F329:F334"/>
    <mergeCell ref="AF329:AF333"/>
    <mergeCell ref="AG329:AG333"/>
    <mergeCell ref="AH329:AH333"/>
    <mergeCell ref="AI329:AI333"/>
    <mergeCell ref="S330:S332"/>
    <mergeCell ref="T330:T332"/>
    <mergeCell ref="U330:U332"/>
    <mergeCell ref="V330:V332"/>
    <mergeCell ref="W330:W332"/>
    <mergeCell ref="X330:X332"/>
    <mergeCell ref="Y330:Y332"/>
    <mergeCell ref="H329:H333"/>
    <mergeCell ref="I329:I333"/>
    <mergeCell ref="J329:J333"/>
    <mergeCell ref="K329:K333"/>
    <mergeCell ref="L329:L333"/>
    <mergeCell ref="M329:M333"/>
    <mergeCell ref="N330:N332"/>
    <mergeCell ref="O330:O332"/>
    <mergeCell ref="P336:P338"/>
    <mergeCell ref="Q336:Q338"/>
    <mergeCell ref="R336:R338"/>
    <mergeCell ref="G335:G339"/>
    <mergeCell ref="AJ335:AJ339"/>
    <mergeCell ref="AK335:AK339"/>
    <mergeCell ref="I340:K340"/>
    <mergeCell ref="F335:F340"/>
    <mergeCell ref="AF335:AF339"/>
    <mergeCell ref="AG335:AG339"/>
    <mergeCell ref="AH335:AH339"/>
    <mergeCell ref="AI335:AI339"/>
    <mergeCell ref="S336:S338"/>
    <mergeCell ref="T336:T338"/>
    <mergeCell ref="U336:U338"/>
    <mergeCell ref="V336:V338"/>
    <mergeCell ref="W336:W338"/>
    <mergeCell ref="X336:X338"/>
    <mergeCell ref="Y336:Y338"/>
    <mergeCell ref="H335:H339"/>
    <mergeCell ref="I335:I339"/>
    <mergeCell ref="J335:J339"/>
    <mergeCell ref="K335:K339"/>
    <mergeCell ref="L335:L339"/>
    <mergeCell ref="M335:M339"/>
    <mergeCell ref="N336:N338"/>
    <mergeCell ref="O336:O338"/>
    <mergeCell ref="P342:P344"/>
    <mergeCell ref="Q342:Q344"/>
    <mergeCell ref="R342:R344"/>
    <mergeCell ref="G341:G345"/>
    <mergeCell ref="AJ341:AJ345"/>
    <mergeCell ref="AK341:AK345"/>
    <mergeCell ref="I346:K346"/>
    <mergeCell ref="F341:F346"/>
    <mergeCell ref="AF341:AF345"/>
    <mergeCell ref="AG341:AG345"/>
    <mergeCell ref="AH341:AH345"/>
    <mergeCell ref="AI341:AI345"/>
    <mergeCell ref="S342:S344"/>
    <mergeCell ref="T342:T344"/>
    <mergeCell ref="U342:U344"/>
    <mergeCell ref="V342:V344"/>
    <mergeCell ref="W342:W344"/>
    <mergeCell ref="X342:X344"/>
    <mergeCell ref="Y342:Y344"/>
    <mergeCell ref="H341:H345"/>
    <mergeCell ref="I341:I345"/>
    <mergeCell ref="J341:J345"/>
    <mergeCell ref="K341:K345"/>
    <mergeCell ref="L341:L345"/>
    <mergeCell ref="M341:M345"/>
    <mergeCell ref="N342:N344"/>
    <mergeCell ref="O342:O344"/>
    <mergeCell ref="P348:P350"/>
    <mergeCell ref="Q348:Q350"/>
    <mergeCell ref="R348:R350"/>
    <mergeCell ref="G347:G351"/>
    <mergeCell ref="AJ347:AJ351"/>
    <mergeCell ref="AK347:AK351"/>
    <mergeCell ref="I357:K357"/>
    <mergeCell ref="F347:F357"/>
    <mergeCell ref="AF347:AF351"/>
    <mergeCell ref="AG347:AG351"/>
    <mergeCell ref="AH347:AH351"/>
    <mergeCell ref="AI347:AI351"/>
    <mergeCell ref="S348:S350"/>
    <mergeCell ref="T348:T350"/>
    <mergeCell ref="U348:U350"/>
    <mergeCell ref="V348:V350"/>
    <mergeCell ref="W348:W350"/>
    <mergeCell ref="X348:X350"/>
    <mergeCell ref="Y348:Y350"/>
    <mergeCell ref="H347:H351"/>
    <mergeCell ref="I347:I351"/>
    <mergeCell ref="J347:J351"/>
    <mergeCell ref="K347:K351"/>
    <mergeCell ref="L347:L351"/>
    <mergeCell ref="M347:M351"/>
    <mergeCell ref="N348:N350"/>
    <mergeCell ref="O348:O350"/>
    <mergeCell ref="P359:P361"/>
    <mergeCell ref="Q359:Q361"/>
    <mergeCell ref="R359:R361"/>
    <mergeCell ref="G358:G362"/>
    <mergeCell ref="AJ358:AJ362"/>
    <mergeCell ref="AK358:AK362"/>
    <mergeCell ref="I363:K363"/>
    <mergeCell ref="F358:F363"/>
    <mergeCell ref="AF358:AF362"/>
    <mergeCell ref="AG358:AG362"/>
    <mergeCell ref="AH358:AH362"/>
    <mergeCell ref="AI358:AI362"/>
    <mergeCell ref="S359:S361"/>
    <mergeCell ref="T359:T361"/>
    <mergeCell ref="U359:U361"/>
    <mergeCell ref="V359:V361"/>
    <mergeCell ref="W359:W361"/>
    <mergeCell ref="X359:X361"/>
    <mergeCell ref="Y359:Y361"/>
    <mergeCell ref="H358:H362"/>
    <mergeCell ref="I358:I362"/>
    <mergeCell ref="J358:J362"/>
    <mergeCell ref="K358:K362"/>
    <mergeCell ref="L358:L362"/>
    <mergeCell ref="M358:M362"/>
    <mergeCell ref="N359:N361"/>
    <mergeCell ref="O359:O361"/>
    <mergeCell ref="P365:P367"/>
    <mergeCell ref="Q365:Q367"/>
    <mergeCell ref="R365:R367"/>
    <mergeCell ref="G364:G368"/>
    <mergeCell ref="AJ364:AJ368"/>
    <mergeCell ref="AK364:AK368"/>
    <mergeCell ref="I369:K369"/>
    <mergeCell ref="F364:F369"/>
    <mergeCell ref="AF364:AF368"/>
    <mergeCell ref="AG364:AG368"/>
    <mergeCell ref="AH364:AH368"/>
    <mergeCell ref="AI364:AI368"/>
    <mergeCell ref="S365:S367"/>
    <mergeCell ref="T365:T367"/>
    <mergeCell ref="U365:U367"/>
    <mergeCell ref="V365:V367"/>
    <mergeCell ref="W365:W367"/>
    <mergeCell ref="X365:X367"/>
    <mergeCell ref="Y365:Y367"/>
    <mergeCell ref="H364:H368"/>
    <mergeCell ref="I364:I368"/>
    <mergeCell ref="J364:J368"/>
    <mergeCell ref="K364:K368"/>
    <mergeCell ref="L364:L368"/>
    <mergeCell ref="M364:M368"/>
    <mergeCell ref="N365:N367"/>
    <mergeCell ref="O365:O367"/>
    <mergeCell ref="P371:P373"/>
    <mergeCell ref="Q371:Q373"/>
    <mergeCell ref="R371:R373"/>
    <mergeCell ref="G370:G374"/>
    <mergeCell ref="AJ370:AJ374"/>
    <mergeCell ref="AK370:AK374"/>
    <mergeCell ref="I375:K375"/>
    <mergeCell ref="F370:F375"/>
    <mergeCell ref="AF370:AF374"/>
    <mergeCell ref="AG370:AG374"/>
    <mergeCell ref="AH370:AH374"/>
    <mergeCell ref="AI370:AI374"/>
    <mergeCell ref="S371:S373"/>
    <mergeCell ref="T371:T373"/>
    <mergeCell ref="U371:U373"/>
    <mergeCell ref="V371:V373"/>
    <mergeCell ref="W371:W373"/>
    <mergeCell ref="X371:X373"/>
    <mergeCell ref="Y371:Y373"/>
    <mergeCell ref="H370:H374"/>
    <mergeCell ref="I370:I374"/>
    <mergeCell ref="J370:J374"/>
    <mergeCell ref="K370:K374"/>
    <mergeCell ref="L370:L374"/>
    <mergeCell ref="M370:M374"/>
    <mergeCell ref="N371:N373"/>
    <mergeCell ref="O371:O373"/>
    <mergeCell ref="P377:P379"/>
    <mergeCell ref="Q377:Q379"/>
    <mergeCell ref="R377:R379"/>
    <mergeCell ref="G376:G380"/>
    <mergeCell ref="AJ376:AJ380"/>
    <mergeCell ref="AK376:AK380"/>
    <mergeCell ref="I381:K381"/>
    <mergeCell ref="F376:F381"/>
    <mergeCell ref="AF376:AF380"/>
    <mergeCell ref="AG376:AG380"/>
    <mergeCell ref="AH376:AH380"/>
    <mergeCell ref="AI376:AI380"/>
    <mergeCell ref="S377:S379"/>
    <mergeCell ref="T377:T379"/>
    <mergeCell ref="U377:U379"/>
    <mergeCell ref="V377:V379"/>
    <mergeCell ref="W377:W379"/>
    <mergeCell ref="X377:X379"/>
    <mergeCell ref="Y377:Y379"/>
    <mergeCell ref="H376:H380"/>
    <mergeCell ref="I376:I380"/>
    <mergeCell ref="J376:J380"/>
    <mergeCell ref="K376:K380"/>
    <mergeCell ref="L376:L380"/>
    <mergeCell ref="M376:M380"/>
    <mergeCell ref="N377:N379"/>
    <mergeCell ref="O377:O379"/>
    <mergeCell ref="P384:P386"/>
    <mergeCell ref="Q384:Q386"/>
    <mergeCell ref="R384:R386"/>
    <mergeCell ref="G383:G387"/>
    <mergeCell ref="AJ383:AJ387"/>
    <mergeCell ref="AK383:AK387"/>
    <mergeCell ref="I388:K388"/>
    <mergeCell ref="F383:F388"/>
    <mergeCell ref="AF383:AF387"/>
    <mergeCell ref="AG383:AG387"/>
    <mergeCell ref="AH383:AH387"/>
    <mergeCell ref="AI383:AI387"/>
    <mergeCell ref="S384:S386"/>
    <mergeCell ref="T384:T386"/>
    <mergeCell ref="U384:U386"/>
    <mergeCell ref="V384:V386"/>
    <mergeCell ref="W384:W386"/>
    <mergeCell ref="X384:X386"/>
    <mergeCell ref="Y384:Y386"/>
    <mergeCell ref="H383:H387"/>
    <mergeCell ref="I383:I387"/>
    <mergeCell ref="J383:J387"/>
    <mergeCell ref="K383:K387"/>
    <mergeCell ref="L383:L387"/>
    <mergeCell ref="M383:M387"/>
    <mergeCell ref="N384:N386"/>
    <mergeCell ref="O384:O386"/>
    <mergeCell ref="P390:P392"/>
    <mergeCell ref="Q390:Q392"/>
    <mergeCell ref="R390:R392"/>
    <mergeCell ref="G389:G393"/>
    <mergeCell ref="AJ389:AJ393"/>
    <mergeCell ref="AK389:AK393"/>
    <mergeCell ref="I394:K394"/>
    <mergeCell ref="F389:F394"/>
    <mergeCell ref="AF389:AF393"/>
    <mergeCell ref="AG389:AG393"/>
    <mergeCell ref="AH389:AH393"/>
    <mergeCell ref="AI389:AI393"/>
    <mergeCell ref="S390:S392"/>
    <mergeCell ref="T390:T392"/>
    <mergeCell ref="U390:U392"/>
    <mergeCell ref="V390:V392"/>
    <mergeCell ref="W390:W392"/>
    <mergeCell ref="X390:X392"/>
    <mergeCell ref="Y390:Y392"/>
    <mergeCell ref="H389:H393"/>
    <mergeCell ref="I389:I393"/>
    <mergeCell ref="J389:J393"/>
    <mergeCell ref="K389:K393"/>
    <mergeCell ref="L389:L393"/>
    <mergeCell ref="M389:M393"/>
    <mergeCell ref="N390:N392"/>
    <mergeCell ref="O390:O392"/>
    <mergeCell ref="P396:P398"/>
    <mergeCell ref="Q396:Q398"/>
    <mergeCell ref="R396:R398"/>
    <mergeCell ref="G395:G399"/>
    <mergeCell ref="AJ395:AJ399"/>
    <mergeCell ref="AK395:AK399"/>
    <mergeCell ref="I400:K400"/>
    <mergeCell ref="F395:F400"/>
    <mergeCell ref="AF395:AF399"/>
    <mergeCell ref="AG395:AG399"/>
    <mergeCell ref="AH395:AH399"/>
    <mergeCell ref="AI395:AI399"/>
    <mergeCell ref="S396:S398"/>
    <mergeCell ref="T396:T398"/>
    <mergeCell ref="U396:U398"/>
    <mergeCell ref="V396:V398"/>
    <mergeCell ref="W396:W398"/>
    <mergeCell ref="X396:X398"/>
    <mergeCell ref="Y396:Y398"/>
    <mergeCell ref="H395:H399"/>
    <mergeCell ref="I395:I399"/>
    <mergeCell ref="J395:J399"/>
    <mergeCell ref="K395:K399"/>
    <mergeCell ref="L395:L399"/>
    <mergeCell ref="M395:M399"/>
    <mergeCell ref="N396:N398"/>
    <mergeCell ref="O396:O398"/>
    <mergeCell ref="P402:P404"/>
    <mergeCell ref="Q402:Q404"/>
    <mergeCell ref="R402:R404"/>
    <mergeCell ref="G401:G405"/>
    <mergeCell ref="AJ401:AJ405"/>
    <mergeCell ref="AK401:AK405"/>
    <mergeCell ref="I411:K411"/>
    <mergeCell ref="F401:F411"/>
    <mergeCell ref="AF401:AF405"/>
    <mergeCell ref="AG401:AG405"/>
    <mergeCell ref="AH401:AH405"/>
    <mergeCell ref="AI401:AI405"/>
    <mergeCell ref="S402:S404"/>
    <mergeCell ref="T402:T404"/>
    <mergeCell ref="U402:U404"/>
    <mergeCell ref="V402:V404"/>
    <mergeCell ref="W402:W404"/>
    <mergeCell ref="X402:X404"/>
    <mergeCell ref="Y402:Y404"/>
    <mergeCell ref="H401:H405"/>
    <mergeCell ref="I401:I405"/>
    <mergeCell ref="J401:J405"/>
    <mergeCell ref="K401:K405"/>
    <mergeCell ref="L401:L405"/>
    <mergeCell ref="M401:M405"/>
    <mergeCell ref="N402:N404"/>
    <mergeCell ref="O402:O404"/>
    <mergeCell ref="P413:P415"/>
    <mergeCell ref="Q413:Q415"/>
    <mergeCell ref="R413:R415"/>
    <mergeCell ref="G412:G416"/>
    <mergeCell ref="AJ412:AJ416"/>
    <mergeCell ref="AK412:AK416"/>
    <mergeCell ref="I417:K417"/>
    <mergeCell ref="F412:F417"/>
    <mergeCell ref="AF412:AF416"/>
    <mergeCell ref="AG412:AG416"/>
    <mergeCell ref="AH412:AH416"/>
    <mergeCell ref="AI412:AI416"/>
    <mergeCell ref="S413:S415"/>
    <mergeCell ref="T413:T415"/>
    <mergeCell ref="U413:U415"/>
    <mergeCell ref="V413:V415"/>
    <mergeCell ref="W413:W415"/>
    <mergeCell ref="X413:X415"/>
    <mergeCell ref="Y413:Y415"/>
    <mergeCell ref="H412:H416"/>
    <mergeCell ref="I412:I416"/>
    <mergeCell ref="J412:J416"/>
    <mergeCell ref="K412:K416"/>
    <mergeCell ref="L412:L416"/>
    <mergeCell ref="M412:M416"/>
    <mergeCell ref="N413:N415"/>
    <mergeCell ref="O413:O415"/>
    <mergeCell ref="P419:P421"/>
    <mergeCell ref="Q419:Q421"/>
    <mergeCell ref="R419:R421"/>
    <mergeCell ref="G418:G422"/>
    <mergeCell ref="AJ418:AJ422"/>
    <mergeCell ref="AK418:AK422"/>
    <mergeCell ref="I423:K423"/>
    <mergeCell ref="F418:F423"/>
    <mergeCell ref="AF418:AF422"/>
    <mergeCell ref="AG418:AG422"/>
    <mergeCell ref="AH418:AH422"/>
    <mergeCell ref="AI418:AI422"/>
    <mergeCell ref="S419:S421"/>
    <mergeCell ref="T419:T421"/>
    <mergeCell ref="U419:U421"/>
    <mergeCell ref="V419:V421"/>
    <mergeCell ref="W419:W421"/>
    <mergeCell ref="X419:X421"/>
    <mergeCell ref="Y419:Y421"/>
    <mergeCell ref="H418:H422"/>
    <mergeCell ref="I418:I422"/>
    <mergeCell ref="J418:J422"/>
    <mergeCell ref="K418:K422"/>
    <mergeCell ref="L418:L422"/>
    <mergeCell ref="M418:M422"/>
    <mergeCell ref="N419:N421"/>
    <mergeCell ref="O419:O421"/>
    <mergeCell ref="P425:P427"/>
    <mergeCell ref="Q425:Q427"/>
    <mergeCell ref="R425:R427"/>
    <mergeCell ref="G424:G428"/>
    <mergeCell ref="AJ424:AJ428"/>
    <mergeCell ref="AK424:AK428"/>
    <mergeCell ref="I429:K429"/>
    <mergeCell ref="F424:F429"/>
    <mergeCell ref="AF424:AF428"/>
    <mergeCell ref="AG424:AG428"/>
    <mergeCell ref="AH424:AH428"/>
    <mergeCell ref="AI424:AI428"/>
    <mergeCell ref="S425:S427"/>
    <mergeCell ref="T425:T427"/>
    <mergeCell ref="U425:U427"/>
    <mergeCell ref="V425:V427"/>
    <mergeCell ref="W425:W427"/>
    <mergeCell ref="X425:X427"/>
    <mergeCell ref="Y425:Y427"/>
    <mergeCell ref="H424:H428"/>
    <mergeCell ref="I424:I428"/>
    <mergeCell ref="J424:J428"/>
    <mergeCell ref="K424:K428"/>
    <mergeCell ref="L424:L428"/>
    <mergeCell ref="M424:M428"/>
    <mergeCell ref="N425:N427"/>
    <mergeCell ref="O425:O427"/>
    <mergeCell ref="P431:P433"/>
    <mergeCell ref="Q431:Q433"/>
    <mergeCell ref="R431:R433"/>
    <mergeCell ref="G430:G434"/>
    <mergeCell ref="AJ430:AJ434"/>
    <mergeCell ref="AK430:AK434"/>
    <mergeCell ref="I435:K435"/>
    <mergeCell ref="F430:F435"/>
    <mergeCell ref="AF430:AF434"/>
    <mergeCell ref="AG430:AG434"/>
    <mergeCell ref="AH430:AH434"/>
    <mergeCell ref="AI430:AI434"/>
    <mergeCell ref="S431:S433"/>
    <mergeCell ref="T431:T433"/>
    <mergeCell ref="U431:U433"/>
    <mergeCell ref="V431:V433"/>
    <mergeCell ref="W431:W433"/>
    <mergeCell ref="X431:X433"/>
    <mergeCell ref="Y431:Y433"/>
    <mergeCell ref="H430:H434"/>
    <mergeCell ref="I430:I434"/>
    <mergeCell ref="J430:J434"/>
    <mergeCell ref="K430:K434"/>
    <mergeCell ref="L430:L434"/>
    <mergeCell ref="M430:M434"/>
    <mergeCell ref="N431:N433"/>
    <mergeCell ref="O431:O433"/>
    <mergeCell ref="P437:P439"/>
    <mergeCell ref="Q437:Q439"/>
    <mergeCell ref="R437:R439"/>
    <mergeCell ref="G436:G440"/>
    <mergeCell ref="AJ436:AJ440"/>
    <mergeCell ref="AK436:AK440"/>
    <mergeCell ref="I441:K441"/>
    <mergeCell ref="F436:F441"/>
    <mergeCell ref="AF436:AF440"/>
    <mergeCell ref="AG436:AG440"/>
    <mergeCell ref="AH436:AH440"/>
    <mergeCell ref="AI436:AI440"/>
    <mergeCell ref="S437:S439"/>
    <mergeCell ref="T437:T439"/>
    <mergeCell ref="U437:U439"/>
    <mergeCell ref="V437:V439"/>
    <mergeCell ref="W437:W439"/>
    <mergeCell ref="X437:X439"/>
    <mergeCell ref="Y437:Y439"/>
    <mergeCell ref="H436:H440"/>
    <mergeCell ref="I436:I440"/>
    <mergeCell ref="J436:J440"/>
    <mergeCell ref="K436:K440"/>
    <mergeCell ref="L436:L440"/>
    <mergeCell ref="M436:M440"/>
    <mergeCell ref="N437:N439"/>
    <mergeCell ref="O437:O439"/>
    <mergeCell ref="P444:P446"/>
    <mergeCell ref="Q444:Q446"/>
    <mergeCell ref="R444:R446"/>
    <mergeCell ref="G443:G447"/>
    <mergeCell ref="AJ443:AJ447"/>
    <mergeCell ref="AK443:AK447"/>
    <mergeCell ref="I448:K448"/>
    <mergeCell ref="F443:F448"/>
    <mergeCell ref="AF443:AF447"/>
    <mergeCell ref="AG443:AG447"/>
    <mergeCell ref="AH443:AH447"/>
    <mergeCell ref="AI443:AI447"/>
    <mergeCell ref="S444:S446"/>
    <mergeCell ref="T444:T446"/>
    <mergeCell ref="U444:U446"/>
    <mergeCell ref="V444:V446"/>
    <mergeCell ref="W444:W446"/>
    <mergeCell ref="X444:X446"/>
    <mergeCell ref="Y444:Y446"/>
    <mergeCell ref="H443:H447"/>
    <mergeCell ref="I443:I447"/>
    <mergeCell ref="J443:J447"/>
    <mergeCell ref="K443:K447"/>
    <mergeCell ref="L443:L447"/>
    <mergeCell ref="M443:M447"/>
    <mergeCell ref="N444:N446"/>
    <mergeCell ref="O444:O446"/>
    <mergeCell ref="P450:P452"/>
    <mergeCell ref="Q450:Q452"/>
    <mergeCell ref="R450:R452"/>
    <mergeCell ref="G449:G453"/>
    <mergeCell ref="AJ449:AJ453"/>
    <mergeCell ref="AK449:AK453"/>
    <mergeCell ref="I454:K454"/>
    <mergeCell ref="F449:F454"/>
    <mergeCell ref="AF449:AF453"/>
    <mergeCell ref="AG449:AG453"/>
    <mergeCell ref="AH449:AH453"/>
    <mergeCell ref="AI449:AI453"/>
    <mergeCell ref="S450:S452"/>
    <mergeCell ref="T450:T452"/>
    <mergeCell ref="U450:U452"/>
    <mergeCell ref="V450:V452"/>
    <mergeCell ref="W450:W452"/>
    <mergeCell ref="X450:X452"/>
    <mergeCell ref="Y450:Y452"/>
    <mergeCell ref="H449:H453"/>
    <mergeCell ref="I449:I453"/>
    <mergeCell ref="J449:J453"/>
    <mergeCell ref="K449:K453"/>
    <mergeCell ref="L449:L453"/>
    <mergeCell ref="M449:M453"/>
    <mergeCell ref="N450:N452"/>
    <mergeCell ref="O450:O452"/>
    <mergeCell ref="P456:P458"/>
    <mergeCell ref="Q456:Q458"/>
    <mergeCell ref="R456:R458"/>
    <mergeCell ref="G455:G459"/>
    <mergeCell ref="AJ455:AJ459"/>
    <mergeCell ref="AK455:AK459"/>
    <mergeCell ref="I460:K460"/>
    <mergeCell ref="F455:F460"/>
    <mergeCell ref="AF455:AF459"/>
    <mergeCell ref="AG455:AG459"/>
    <mergeCell ref="AH455:AH459"/>
    <mergeCell ref="AI455:AI459"/>
    <mergeCell ref="S456:S458"/>
    <mergeCell ref="T456:T458"/>
    <mergeCell ref="U456:U458"/>
    <mergeCell ref="V456:V458"/>
    <mergeCell ref="W456:W458"/>
    <mergeCell ref="X456:X458"/>
    <mergeCell ref="Y456:Y458"/>
    <mergeCell ref="H455:H459"/>
    <mergeCell ref="I455:I459"/>
    <mergeCell ref="J455:J459"/>
    <mergeCell ref="K455:K459"/>
    <mergeCell ref="L455:L459"/>
    <mergeCell ref="M455:M459"/>
    <mergeCell ref="N456:N458"/>
    <mergeCell ref="O456:O458"/>
    <mergeCell ref="P462:P464"/>
    <mergeCell ref="Q462:Q464"/>
    <mergeCell ref="R462:R464"/>
    <mergeCell ref="G461:G465"/>
    <mergeCell ref="AJ461:AJ465"/>
    <mergeCell ref="AK461:AK465"/>
    <mergeCell ref="I471:K471"/>
    <mergeCell ref="F461:F471"/>
    <mergeCell ref="AF461:AF465"/>
    <mergeCell ref="AG461:AG465"/>
    <mergeCell ref="AH461:AH465"/>
    <mergeCell ref="AI461:AI465"/>
    <mergeCell ref="S462:S464"/>
    <mergeCell ref="T462:T464"/>
    <mergeCell ref="U462:U464"/>
    <mergeCell ref="V462:V464"/>
    <mergeCell ref="W462:W464"/>
    <mergeCell ref="X462:X464"/>
    <mergeCell ref="Y462:Y464"/>
    <mergeCell ref="H461:H465"/>
    <mergeCell ref="I461:I465"/>
    <mergeCell ref="J461:J465"/>
    <mergeCell ref="K461:K465"/>
    <mergeCell ref="L461:L465"/>
    <mergeCell ref="M461:M465"/>
    <mergeCell ref="N462:N464"/>
    <mergeCell ref="O462:O464"/>
    <mergeCell ref="P473:P475"/>
    <mergeCell ref="Q473:Q475"/>
    <mergeCell ref="R473:R475"/>
    <mergeCell ref="G472:G476"/>
    <mergeCell ref="AJ472:AJ476"/>
    <mergeCell ref="AK472:AK476"/>
    <mergeCell ref="I477:K477"/>
    <mergeCell ref="F472:F477"/>
    <mergeCell ref="AF472:AF476"/>
    <mergeCell ref="AG472:AG476"/>
    <mergeCell ref="AH472:AH476"/>
    <mergeCell ref="AI472:AI476"/>
    <mergeCell ref="S473:S475"/>
    <mergeCell ref="T473:T475"/>
    <mergeCell ref="U473:U475"/>
    <mergeCell ref="V473:V475"/>
    <mergeCell ref="W473:W475"/>
    <mergeCell ref="X473:X475"/>
    <mergeCell ref="Y473:Y475"/>
    <mergeCell ref="H472:H476"/>
    <mergeCell ref="I472:I476"/>
    <mergeCell ref="J472:J476"/>
    <mergeCell ref="K472:K476"/>
    <mergeCell ref="L472:L476"/>
    <mergeCell ref="M472:M476"/>
    <mergeCell ref="N473:N475"/>
    <mergeCell ref="O473:O475"/>
    <mergeCell ref="P479:P481"/>
    <mergeCell ref="Q479:Q481"/>
    <mergeCell ref="R479:R481"/>
    <mergeCell ref="G478:G482"/>
    <mergeCell ref="AJ478:AJ482"/>
    <mergeCell ref="AK478:AK482"/>
    <mergeCell ref="I483:K483"/>
    <mergeCell ref="F478:F483"/>
    <mergeCell ref="AF478:AF482"/>
    <mergeCell ref="AG478:AG482"/>
    <mergeCell ref="AH478:AH482"/>
    <mergeCell ref="AI478:AI482"/>
    <mergeCell ref="S479:S481"/>
    <mergeCell ref="T479:T481"/>
    <mergeCell ref="U479:U481"/>
    <mergeCell ref="V479:V481"/>
    <mergeCell ref="W479:W481"/>
    <mergeCell ref="X479:X481"/>
    <mergeCell ref="Y479:Y481"/>
    <mergeCell ref="H478:H482"/>
    <mergeCell ref="I478:I482"/>
    <mergeCell ref="J478:J482"/>
    <mergeCell ref="K478:K482"/>
    <mergeCell ref="L478:L482"/>
    <mergeCell ref="M478:M482"/>
    <mergeCell ref="N479:N481"/>
    <mergeCell ref="O479:O481"/>
    <mergeCell ref="P485:P487"/>
    <mergeCell ref="Q485:Q487"/>
    <mergeCell ref="R485:R487"/>
    <mergeCell ref="G484:G488"/>
    <mergeCell ref="AJ484:AJ488"/>
    <mergeCell ref="AK484:AK488"/>
    <mergeCell ref="I489:K489"/>
    <mergeCell ref="F484:F489"/>
    <mergeCell ref="AF484:AF488"/>
    <mergeCell ref="AG484:AG488"/>
    <mergeCell ref="AH484:AH488"/>
    <mergeCell ref="AI484:AI488"/>
    <mergeCell ref="S485:S487"/>
    <mergeCell ref="T485:T487"/>
    <mergeCell ref="U485:U487"/>
    <mergeCell ref="V485:V487"/>
    <mergeCell ref="W485:W487"/>
    <mergeCell ref="X485:X487"/>
    <mergeCell ref="Y485:Y487"/>
    <mergeCell ref="H484:H488"/>
    <mergeCell ref="I484:I488"/>
    <mergeCell ref="J484:J488"/>
    <mergeCell ref="K484:K488"/>
    <mergeCell ref="L484:L488"/>
    <mergeCell ref="M484:M488"/>
    <mergeCell ref="N485:N487"/>
    <mergeCell ref="O485:O487"/>
    <mergeCell ref="P491:P493"/>
    <mergeCell ref="Q491:Q493"/>
    <mergeCell ref="R491:R493"/>
    <mergeCell ref="G490:G494"/>
    <mergeCell ref="AJ490:AJ494"/>
    <mergeCell ref="AK490:AK494"/>
    <mergeCell ref="I495:K495"/>
    <mergeCell ref="F490:F495"/>
    <mergeCell ref="AF490:AF494"/>
    <mergeCell ref="AG490:AG494"/>
    <mergeCell ref="AH490:AH494"/>
    <mergeCell ref="AI490:AI494"/>
    <mergeCell ref="S491:S493"/>
    <mergeCell ref="T491:T493"/>
    <mergeCell ref="U491:U493"/>
    <mergeCell ref="V491:V493"/>
    <mergeCell ref="W491:W493"/>
    <mergeCell ref="X491:X493"/>
    <mergeCell ref="Y491:Y493"/>
    <mergeCell ref="H490:H494"/>
    <mergeCell ref="I490:I494"/>
    <mergeCell ref="J490:J494"/>
    <mergeCell ref="K490:K494"/>
    <mergeCell ref="L490:L494"/>
    <mergeCell ref="M490:M494"/>
    <mergeCell ref="N491:N493"/>
    <mergeCell ref="O491:O493"/>
    <mergeCell ref="P498:P500"/>
    <mergeCell ref="Q498:Q500"/>
    <mergeCell ref="R498:R500"/>
    <mergeCell ref="G497:G501"/>
    <mergeCell ref="AJ497:AJ501"/>
    <mergeCell ref="AK497:AK501"/>
    <mergeCell ref="I508:K508"/>
    <mergeCell ref="F497:F508"/>
    <mergeCell ref="AF497:AF501"/>
    <mergeCell ref="AG497:AG501"/>
    <mergeCell ref="AH497:AH501"/>
    <mergeCell ref="AI497:AI501"/>
    <mergeCell ref="S498:S500"/>
    <mergeCell ref="T498:T500"/>
    <mergeCell ref="U498:U500"/>
    <mergeCell ref="V498:V500"/>
    <mergeCell ref="W498:W500"/>
    <mergeCell ref="X498:X500"/>
    <mergeCell ref="Y498:Y500"/>
    <mergeCell ref="H497:H501"/>
    <mergeCell ref="I497:I501"/>
    <mergeCell ref="J497:J501"/>
    <mergeCell ref="K497:K501"/>
    <mergeCell ref="L497:L501"/>
    <mergeCell ref="M497:M501"/>
    <mergeCell ref="N498:N500"/>
    <mergeCell ref="O498:O500"/>
    <mergeCell ref="P510:P512"/>
    <mergeCell ref="Q510:Q512"/>
    <mergeCell ref="R510:R512"/>
    <mergeCell ref="G509:G513"/>
    <mergeCell ref="AJ509:AJ513"/>
    <mergeCell ref="AK509:AK513"/>
    <mergeCell ref="I514:K514"/>
    <mergeCell ref="F509:F514"/>
    <mergeCell ref="AF509:AF513"/>
    <mergeCell ref="AG509:AG513"/>
    <mergeCell ref="AH509:AH513"/>
    <mergeCell ref="AI509:AI513"/>
    <mergeCell ref="S510:S512"/>
    <mergeCell ref="T510:T512"/>
    <mergeCell ref="U510:U512"/>
    <mergeCell ref="V510:V512"/>
    <mergeCell ref="W510:W512"/>
    <mergeCell ref="X510:X512"/>
    <mergeCell ref="Y510:Y512"/>
    <mergeCell ref="H509:H513"/>
    <mergeCell ref="I509:I513"/>
    <mergeCell ref="J509:J513"/>
    <mergeCell ref="K509:K513"/>
    <mergeCell ref="L509:L513"/>
    <mergeCell ref="M509:M513"/>
    <mergeCell ref="N510:N512"/>
    <mergeCell ref="O510:O512"/>
    <mergeCell ref="P516:P518"/>
    <mergeCell ref="Q516:Q518"/>
    <mergeCell ref="R516:R518"/>
    <mergeCell ref="G515:G519"/>
    <mergeCell ref="AJ515:AJ519"/>
    <mergeCell ref="AK515:AK519"/>
    <mergeCell ref="I520:K520"/>
    <mergeCell ref="F515:F520"/>
    <mergeCell ref="AF515:AF519"/>
    <mergeCell ref="AG515:AG519"/>
    <mergeCell ref="AH515:AH519"/>
    <mergeCell ref="AI515:AI519"/>
    <mergeCell ref="S516:S518"/>
    <mergeCell ref="T516:T518"/>
    <mergeCell ref="U516:U518"/>
    <mergeCell ref="V516:V518"/>
    <mergeCell ref="W516:W518"/>
    <mergeCell ref="X516:X518"/>
    <mergeCell ref="Y516:Y518"/>
    <mergeCell ref="H515:H519"/>
    <mergeCell ref="I515:I519"/>
    <mergeCell ref="J515:J519"/>
    <mergeCell ref="K515:K519"/>
    <mergeCell ref="L515:L519"/>
    <mergeCell ref="M515:M519"/>
    <mergeCell ref="N516:N518"/>
    <mergeCell ref="O516:O518"/>
    <mergeCell ref="P523:P525"/>
    <mergeCell ref="Q523:Q525"/>
    <mergeCell ref="R523:R525"/>
    <mergeCell ref="G522:G526"/>
    <mergeCell ref="AJ522:AJ526"/>
    <mergeCell ref="AK522:AK526"/>
    <mergeCell ref="I527:K527"/>
    <mergeCell ref="F522:F527"/>
    <mergeCell ref="AF522:AF526"/>
    <mergeCell ref="AG522:AG526"/>
    <mergeCell ref="AH522:AH526"/>
    <mergeCell ref="AI522:AI526"/>
    <mergeCell ref="S523:S525"/>
    <mergeCell ref="T523:T525"/>
    <mergeCell ref="U523:U525"/>
    <mergeCell ref="V523:V525"/>
    <mergeCell ref="W523:W525"/>
    <mergeCell ref="X523:X525"/>
    <mergeCell ref="Y523:Y525"/>
    <mergeCell ref="H522:H526"/>
    <mergeCell ref="I522:I526"/>
    <mergeCell ref="J522:J526"/>
    <mergeCell ref="K522:K526"/>
    <mergeCell ref="L522:L526"/>
    <mergeCell ref="M522:M526"/>
    <mergeCell ref="N523:N525"/>
    <mergeCell ref="O523:O525"/>
    <mergeCell ref="P529:P531"/>
    <mergeCell ref="Q529:Q531"/>
    <mergeCell ref="R529:R531"/>
    <mergeCell ref="G528:G532"/>
    <mergeCell ref="AJ528:AJ532"/>
    <mergeCell ref="AK528:AK532"/>
    <mergeCell ref="I533:K533"/>
    <mergeCell ref="F528:F533"/>
    <mergeCell ref="AF528:AF532"/>
    <mergeCell ref="AG528:AG532"/>
    <mergeCell ref="AH528:AH532"/>
    <mergeCell ref="AI528:AI532"/>
    <mergeCell ref="S529:S531"/>
    <mergeCell ref="T529:T531"/>
    <mergeCell ref="U529:U531"/>
    <mergeCell ref="V529:V531"/>
    <mergeCell ref="W529:W531"/>
    <mergeCell ref="X529:X531"/>
    <mergeCell ref="Y529:Y531"/>
    <mergeCell ref="H528:H532"/>
    <mergeCell ref="I528:I532"/>
    <mergeCell ref="J528:J532"/>
    <mergeCell ref="K528:K532"/>
    <mergeCell ref="L528:L532"/>
    <mergeCell ref="M528:M532"/>
    <mergeCell ref="N529:N531"/>
    <mergeCell ref="O529:O531"/>
    <mergeCell ref="P535:P537"/>
    <mergeCell ref="Q535:Q537"/>
    <mergeCell ref="R535:R537"/>
    <mergeCell ref="G534:G538"/>
    <mergeCell ref="AJ534:AJ538"/>
    <mergeCell ref="AK534:AK538"/>
    <mergeCell ref="I539:K539"/>
    <mergeCell ref="F534:F539"/>
    <mergeCell ref="AF534:AF538"/>
    <mergeCell ref="AG534:AG538"/>
    <mergeCell ref="AH534:AH538"/>
    <mergeCell ref="AI534:AI538"/>
    <mergeCell ref="S535:S537"/>
    <mergeCell ref="T535:T537"/>
    <mergeCell ref="U535:U537"/>
    <mergeCell ref="V535:V537"/>
    <mergeCell ref="W535:W537"/>
    <mergeCell ref="X535:X537"/>
    <mergeCell ref="Y535:Y537"/>
    <mergeCell ref="H534:H538"/>
    <mergeCell ref="I534:I538"/>
    <mergeCell ref="J534:J538"/>
    <mergeCell ref="K534:K538"/>
    <mergeCell ref="L534:L538"/>
    <mergeCell ref="M534:M538"/>
    <mergeCell ref="N535:N537"/>
    <mergeCell ref="O535:O537"/>
    <mergeCell ref="P541:P543"/>
    <mergeCell ref="Q541:Q543"/>
    <mergeCell ref="R541:R543"/>
    <mergeCell ref="G540:G544"/>
    <mergeCell ref="AJ540:AJ544"/>
    <mergeCell ref="AK540:AK544"/>
    <mergeCell ref="I545:K545"/>
    <mergeCell ref="F540:F545"/>
    <mergeCell ref="AF540:AF544"/>
    <mergeCell ref="AG540:AG544"/>
    <mergeCell ref="AH540:AH544"/>
    <mergeCell ref="AI540:AI544"/>
    <mergeCell ref="S541:S543"/>
    <mergeCell ref="T541:T543"/>
    <mergeCell ref="U541:U543"/>
    <mergeCell ref="V541:V543"/>
    <mergeCell ref="W541:W543"/>
    <mergeCell ref="X541:X543"/>
    <mergeCell ref="Y541:Y543"/>
    <mergeCell ref="H540:H544"/>
    <mergeCell ref="I540:I544"/>
    <mergeCell ref="J540:J544"/>
    <mergeCell ref="K540:K544"/>
    <mergeCell ref="L540:L544"/>
    <mergeCell ref="M540:M544"/>
    <mergeCell ref="N541:N543"/>
    <mergeCell ref="O541:O543"/>
    <mergeCell ref="P547:P549"/>
    <mergeCell ref="Q547:Q549"/>
    <mergeCell ref="R547:R549"/>
    <mergeCell ref="G546:G550"/>
    <mergeCell ref="AJ546:AJ550"/>
    <mergeCell ref="AK546:AK550"/>
    <mergeCell ref="I562:K562"/>
    <mergeCell ref="F546:F562"/>
    <mergeCell ref="AF546:AF550"/>
    <mergeCell ref="AG546:AG550"/>
    <mergeCell ref="AH546:AH550"/>
    <mergeCell ref="AI546:AI550"/>
    <mergeCell ref="S547:S549"/>
    <mergeCell ref="T547:T549"/>
    <mergeCell ref="U547:U549"/>
    <mergeCell ref="V547:V549"/>
    <mergeCell ref="W547:W549"/>
    <mergeCell ref="X547:X549"/>
    <mergeCell ref="Y547:Y549"/>
    <mergeCell ref="H546:H550"/>
    <mergeCell ref="I546:I550"/>
    <mergeCell ref="J546:J550"/>
    <mergeCell ref="K546:K550"/>
    <mergeCell ref="L546:L550"/>
    <mergeCell ref="M546:M550"/>
    <mergeCell ref="N547:N549"/>
    <mergeCell ref="O547:O549"/>
    <mergeCell ref="P564:P566"/>
    <mergeCell ref="Q564:Q566"/>
    <mergeCell ref="R564:R566"/>
    <mergeCell ref="G563:G567"/>
    <mergeCell ref="AJ563:AJ567"/>
    <mergeCell ref="AK563:AK567"/>
    <mergeCell ref="I568:K568"/>
    <mergeCell ref="F563:F568"/>
    <mergeCell ref="AF563:AF567"/>
    <mergeCell ref="AG563:AG567"/>
    <mergeCell ref="AH563:AH567"/>
    <mergeCell ref="AI563:AI567"/>
    <mergeCell ref="S564:S566"/>
    <mergeCell ref="T564:T566"/>
    <mergeCell ref="U564:U566"/>
    <mergeCell ref="V564:V566"/>
    <mergeCell ref="W564:W566"/>
    <mergeCell ref="X564:X566"/>
    <mergeCell ref="Y564:Y566"/>
    <mergeCell ref="H563:H567"/>
    <mergeCell ref="I563:I567"/>
    <mergeCell ref="J563:J567"/>
    <mergeCell ref="K563:K567"/>
    <mergeCell ref="L563:L567"/>
    <mergeCell ref="M563:M567"/>
    <mergeCell ref="N564:N566"/>
    <mergeCell ref="O564:O566"/>
    <mergeCell ref="P570:P572"/>
    <mergeCell ref="Q570:Q572"/>
    <mergeCell ref="R570:R572"/>
    <mergeCell ref="G569:G573"/>
    <mergeCell ref="AJ569:AJ573"/>
    <mergeCell ref="AK569:AK573"/>
    <mergeCell ref="I574:K574"/>
    <mergeCell ref="F569:F574"/>
    <mergeCell ref="AF569:AF573"/>
    <mergeCell ref="AG569:AG573"/>
    <mergeCell ref="AH569:AH573"/>
    <mergeCell ref="AI569:AI573"/>
    <mergeCell ref="S570:S572"/>
    <mergeCell ref="T570:T572"/>
    <mergeCell ref="U570:U572"/>
    <mergeCell ref="V570:V572"/>
    <mergeCell ref="W570:W572"/>
    <mergeCell ref="X570:X572"/>
    <mergeCell ref="Y570:Y572"/>
    <mergeCell ref="H569:H573"/>
    <mergeCell ref="I569:I573"/>
    <mergeCell ref="J569:J573"/>
    <mergeCell ref="K569:K573"/>
    <mergeCell ref="L569:L573"/>
    <mergeCell ref="M569:M573"/>
    <mergeCell ref="N570:N572"/>
    <mergeCell ref="O570:O572"/>
    <mergeCell ref="H32:H36"/>
    <mergeCell ref="I32:I36"/>
    <mergeCell ref="J32:J36"/>
    <mergeCell ref="K32:K36"/>
    <mergeCell ref="L32:L36"/>
    <mergeCell ref="M32:M36"/>
    <mergeCell ref="AF32:AF36"/>
    <mergeCell ref="AG32:AG36"/>
    <mergeCell ref="AH32:AH36"/>
    <mergeCell ref="AI32:AI36"/>
    <mergeCell ref="AJ32:AJ36"/>
    <mergeCell ref="AK32:AK36"/>
    <mergeCell ref="N33:N35"/>
    <mergeCell ref="O33:O35"/>
    <mergeCell ref="P33:P35"/>
    <mergeCell ref="Q33:Q35"/>
    <mergeCell ref="R33:R35"/>
    <mergeCell ref="S33:S35"/>
    <mergeCell ref="T33:T35"/>
    <mergeCell ref="U33:U35"/>
    <mergeCell ref="V33:V35"/>
    <mergeCell ref="W33:W35"/>
    <mergeCell ref="X33:X35"/>
    <mergeCell ref="Y33:Y35"/>
    <mergeCell ref="G32:G36"/>
    <mergeCell ref="H37:H41"/>
    <mergeCell ref="I37:I41"/>
    <mergeCell ref="J37:J41"/>
    <mergeCell ref="K37:K41"/>
    <mergeCell ref="L37:L41"/>
    <mergeCell ref="M37:M41"/>
    <mergeCell ref="AF37:AF41"/>
    <mergeCell ref="AG37:AG41"/>
    <mergeCell ref="AH37:AH41"/>
    <mergeCell ref="AI37:AI41"/>
    <mergeCell ref="AJ37:AJ41"/>
    <mergeCell ref="AK37:AK41"/>
    <mergeCell ref="N38:N40"/>
    <mergeCell ref="O38:O40"/>
    <mergeCell ref="P38:P40"/>
    <mergeCell ref="Q38:Q40"/>
    <mergeCell ref="R38:R40"/>
    <mergeCell ref="S38:S40"/>
    <mergeCell ref="T38:T40"/>
    <mergeCell ref="U38:U40"/>
    <mergeCell ref="V38:V40"/>
    <mergeCell ref="W38:W40"/>
    <mergeCell ref="X38:X40"/>
    <mergeCell ref="Y38:Y40"/>
    <mergeCell ref="G37:G41"/>
    <mergeCell ref="H42:H46"/>
    <mergeCell ref="I42:I46"/>
    <mergeCell ref="J42:J46"/>
    <mergeCell ref="K42:K46"/>
    <mergeCell ref="L42:L46"/>
    <mergeCell ref="M42:M46"/>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G42:G46"/>
    <mergeCell ref="H47:H51"/>
    <mergeCell ref="I47:I51"/>
    <mergeCell ref="J47:J51"/>
    <mergeCell ref="K47:K51"/>
    <mergeCell ref="L47:L51"/>
    <mergeCell ref="M47:M51"/>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7:G51"/>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52:G56"/>
    <mergeCell ref="H130:H134"/>
    <mergeCell ref="I130:I134"/>
    <mergeCell ref="J130:J134"/>
    <mergeCell ref="K130:K134"/>
    <mergeCell ref="L130:L134"/>
    <mergeCell ref="M130:M134"/>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G130:G134"/>
    <mergeCell ref="H172:H176"/>
    <mergeCell ref="I172:I176"/>
    <mergeCell ref="J172:J176"/>
    <mergeCell ref="K172:K176"/>
    <mergeCell ref="L172:L176"/>
    <mergeCell ref="M172:M176"/>
    <mergeCell ref="AF172:AF176"/>
    <mergeCell ref="AG172:AG176"/>
    <mergeCell ref="AH172:AH176"/>
    <mergeCell ref="AI172:AI176"/>
    <mergeCell ref="AJ172:AJ176"/>
    <mergeCell ref="AK172:AK176"/>
    <mergeCell ref="N173:N175"/>
    <mergeCell ref="O173:O175"/>
    <mergeCell ref="P173:P175"/>
    <mergeCell ref="Q173:Q175"/>
    <mergeCell ref="R173:R175"/>
    <mergeCell ref="S173:S175"/>
    <mergeCell ref="T173:T175"/>
    <mergeCell ref="U173:U175"/>
    <mergeCell ref="V173:V175"/>
    <mergeCell ref="W173:W175"/>
    <mergeCell ref="X173:X175"/>
    <mergeCell ref="Y173:Y175"/>
    <mergeCell ref="G172:G176"/>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98:H302"/>
    <mergeCell ref="I298:I302"/>
    <mergeCell ref="J298:J302"/>
    <mergeCell ref="K298:K302"/>
    <mergeCell ref="L298:L302"/>
    <mergeCell ref="M298:M302"/>
    <mergeCell ref="AF298:AF302"/>
    <mergeCell ref="AG298:AG302"/>
    <mergeCell ref="AH298:AH302"/>
    <mergeCell ref="AI298:AI302"/>
    <mergeCell ref="AJ298:AJ302"/>
    <mergeCell ref="AK298:AK302"/>
    <mergeCell ref="N299:N301"/>
    <mergeCell ref="O299:O301"/>
    <mergeCell ref="P299:P301"/>
    <mergeCell ref="Q299:Q301"/>
    <mergeCell ref="R299:R301"/>
    <mergeCell ref="S299:S301"/>
    <mergeCell ref="T299:T301"/>
    <mergeCell ref="U299:U301"/>
    <mergeCell ref="V299:V301"/>
    <mergeCell ref="W299:W301"/>
    <mergeCell ref="X299:X301"/>
    <mergeCell ref="Y299:Y301"/>
    <mergeCell ref="G298:G302"/>
    <mergeCell ref="H352:H356"/>
    <mergeCell ref="I352:I356"/>
    <mergeCell ref="J352:J356"/>
    <mergeCell ref="K352:K356"/>
    <mergeCell ref="L352:L356"/>
    <mergeCell ref="M352:M356"/>
    <mergeCell ref="AF352:AF356"/>
    <mergeCell ref="AG352:AG356"/>
    <mergeCell ref="AH352:AH356"/>
    <mergeCell ref="AI352:AI356"/>
    <mergeCell ref="AJ352:AJ356"/>
    <mergeCell ref="AK352:AK356"/>
    <mergeCell ref="N353:N355"/>
    <mergeCell ref="O353:O355"/>
    <mergeCell ref="P353:P355"/>
    <mergeCell ref="Q353:Q355"/>
    <mergeCell ref="R353:R355"/>
    <mergeCell ref="S353:S355"/>
    <mergeCell ref="T353:T355"/>
    <mergeCell ref="U353:U355"/>
    <mergeCell ref="V353:V355"/>
    <mergeCell ref="W353:W355"/>
    <mergeCell ref="X353:X355"/>
    <mergeCell ref="Y353:Y355"/>
    <mergeCell ref="G352:G356"/>
    <mergeCell ref="H406:H410"/>
    <mergeCell ref="I406:I410"/>
    <mergeCell ref="J406:J410"/>
    <mergeCell ref="K406:K410"/>
    <mergeCell ref="L406:L410"/>
    <mergeCell ref="M406:M410"/>
    <mergeCell ref="AF406:AF410"/>
    <mergeCell ref="AG406:AG410"/>
    <mergeCell ref="AH406:AH410"/>
    <mergeCell ref="AI406:AI410"/>
    <mergeCell ref="AJ406:AJ410"/>
    <mergeCell ref="AK406:AK410"/>
    <mergeCell ref="N407:N409"/>
    <mergeCell ref="O407:O409"/>
    <mergeCell ref="P407:P409"/>
    <mergeCell ref="Q407:Q409"/>
    <mergeCell ref="R407:R409"/>
    <mergeCell ref="S407:S409"/>
    <mergeCell ref="T407:T409"/>
    <mergeCell ref="U407:U409"/>
    <mergeCell ref="V407:V409"/>
    <mergeCell ref="W407:W409"/>
    <mergeCell ref="X407:X409"/>
    <mergeCell ref="Y407:Y409"/>
    <mergeCell ref="G406:G410"/>
    <mergeCell ref="H466:H470"/>
    <mergeCell ref="I466:I470"/>
    <mergeCell ref="J466:J470"/>
    <mergeCell ref="K466:K470"/>
    <mergeCell ref="L466:L470"/>
    <mergeCell ref="M466:M470"/>
    <mergeCell ref="AF466:AF470"/>
    <mergeCell ref="AG466:AG470"/>
    <mergeCell ref="AH466:AH470"/>
    <mergeCell ref="AI466:AI470"/>
    <mergeCell ref="AJ466:AJ470"/>
    <mergeCell ref="AK466:AK470"/>
    <mergeCell ref="N467:N469"/>
    <mergeCell ref="O467:O469"/>
    <mergeCell ref="P467:P469"/>
    <mergeCell ref="Q467:Q469"/>
    <mergeCell ref="R467:R469"/>
    <mergeCell ref="S467:S469"/>
    <mergeCell ref="T467:T469"/>
    <mergeCell ref="U467:U469"/>
    <mergeCell ref="V467:V469"/>
    <mergeCell ref="W467:W469"/>
    <mergeCell ref="X467:X469"/>
    <mergeCell ref="Y467:Y469"/>
    <mergeCell ref="G466:G470"/>
    <mergeCell ref="H502:H507"/>
    <mergeCell ref="I502:I507"/>
    <mergeCell ref="J502:J507"/>
    <mergeCell ref="K502:K507"/>
    <mergeCell ref="L502:L507"/>
    <mergeCell ref="M502:M507"/>
    <mergeCell ref="AF502:AF507"/>
    <mergeCell ref="AG502:AG507"/>
    <mergeCell ref="AH502:AH507"/>
    <mergeCell ref="AI502:AI507"/>
    <mergeCell ref="AJ502:AJ507"/>
    <mergeCell ref="AK502:AK507"/>
    <mergeCell ref="N503:N506"/>
    <mergeCell ref="O503:O506"/>
    <mergeCell ref="P503:P506"/>
    <mergeCell ref="Q503:Q506"/>
    <mergeCell ref="R503:R506"/>
    <mergeCell ref="S503:S506"/>
    <mergeCell ref="T503:T506"/>
    <mergeCell ref="U503:U506"/>
    <mergeCell ref="V503:V506"/>
    <mergeCell ref="W503:W506"/>
    <mergeCell ref="X503:X506"/>
    <mergeCell ref="Y503:Y506"/>
    <mergeCell ref="G502:G507"/>
    <mergeCell ref="H551:H555"/>
    <mergeCell ref="I551:I555"/>
    <mergeCell ref="J551:J555"/>
    <mergeCell ref="K551:K555"/>
    <mergeCell ref="L551:L555"/>
    <mergeCell ref="M551:M555"/>
    <mergeCell ref="AF551:AF555"/>
    <mergeCell ref="AG551:AG555"/>
    <mergeCell ref="AH551:AH555"/>
    <mergeCell ref="AI551:AI555"/>
    <mergeCell ref="AJ551:AJ555"/>
    <mergeCell ref="AK551:AK555"/>
    <mergeCell ref="N552:N554"/>
    <mergeCell ref="O552:O554"/>
    <mergeCell ref="P552:P554"/>
    <mergeCell ref="Q552:Q554"/>
    <mergeCell ref="R552:R554"/>
    <mergeCell ref="S552:S554"/>
    <mergeCell ref="T552:T554"/>
    <mergeCell ref="U552:U554"/>
    <mergeCell ref="V552:V554"/>
    <mergeCell ref="W552:W554"/>
    <mergeCell ref="X552:X554"/>
    <mergeCell ref="Y552:Y554"/>
    <mergeCell ref="G551:G555"/>
    <mergeCell ref="H556:H561"/>
    <mergeCell ref="I556:I561"/>
    <mergeCell ref="J556:J561"/>
    <mergeCell ref="K556:K561"/>
    <mergeCell ref="L556:L561"/>
    <mergeCell ref="M556:M561"/>
    <mergeCell ref="AF556:AF561"/>
    <mergeCell ref="AG556:AG561"/>
    <mergeCell ref="AH556:AH561"/>
    <mergeCell ref="AI556:AI561"/>
    <mergeCell ref="AJ556:AJ561"/>
    <mergeCell ref="AK556:AK561"/>
    <mergeCell ref="N557:N560"/>
    <mergeCell ref="O557:O560"/>
    <mergeCell ref="P557:P560"/>
    <mergeCell ref="Q557:Q560"/>
    <mergeCell ref="R557:R560"/>
    <mergeCell ref="S557:S560"/>
    <mergeCell ref="T557:T560"/>
    <mergeCell ref="U557:U560"/>
    <mergeCell ref="V557:V560"/>
    <mergeCell ref="W557:W560"/>
    <mergeCell ref="X557:X560"/>
    <mergeCell ref="Y557:Y560"/>
    <mergeCell ref="G556:G561"/>
  </mergeCells>
  <dataValidations count="236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textLength" operator="lessThanOrEqual" allowBlank="1" showInputMessage="1" showErrorMessage="1" errorTitle="Ошибка" error="Допускается ввод не более 900 символов!" sqref="M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textLength" operator="lessThanOrEqual" allowBlank="1" showInputMessage="1" showErrorMessage="1" errorTitle="Ошибка" error="Допускается ввод не более 900 символов!" sqref="M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textLength" operator="lessThanOrEqual" allowBlank="1" showInputMessage="1" showErrorMessage="1" errorTitle="Ошибка" error="Допускается ввод не более 900 символов!" sqref="M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decimal" allowBlank="1" showErrorMessage="1" errorTitle="Ошибка" error="Допускается ввод только неотрицательных чисел!" sqref="AC163">
      <formula1>0</formula1>
      <formula2>9.99999999999999E+23</formula2>
    </dataValidation>
    <dataValidation type="decimal" allowBlank="1" showErrorMessage="1" errorTitle="Ошибка" error="Допускается ввод только неотрицательных чисел!" sqref="AE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decimal" allowBlank="1" showErrorMessage="1" errorTitle="Ошибка" error="Допускается ввод только неотрицательных чисел!" sqref="AC180">
      <formula1>0</formula1>
      <formula2>9.99999999999999E+23</formula2>
    </dataValidation>
    <dataValidation type="decimal" allowBlank="1" showErrorMessage="1" errorTitle="Ошибка" error="Допускается ввод только неотрицательных чисел!" sqref="AE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textLength" operator="lessThanOrEqual" allowBlank="1" showInputMessage="1" showErrorMessage="1" errorTitle="Ошибка" error="Допускается ввод не более 900 символов!" sqref="M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decimal" allowBlank="1" showErrorMessage="1" errorTitle="Ошибка" error="Допускается ввод только неотрицательных чисел!" sqref="AC198">
      <formula1>0</formula1>
      <formula2>9.99999999999999E+23</formula2>
    </dataValidation>
    <dataValidation type="decimal" allowBlank="1" showErrorMessage="1" errorTitle="Ошибка" error="Допускается ввод только неотрицательных чисел!" sqref="AE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textLength" operator="lessThanOrEqual" allowBlank="1" showInputMessage="1" showErrorMessage="1" errorTitle="Ошибка" error="Допускается ввод не более 900 символов!" sqref="M214">
      <formula1>900</formula1>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textLength" operator="lessThanOrEqual" allowBlank="1" showInputMessage="1" showErrorMessage="1" errorTitle="Ошибка" error="Допускается ввод не более 900 символов!" sqref="M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decimal" allowBlank="1" showErrorMessage="1" errorTitle="Ошибка" error="Допускается ввод только неотрицательных чисел!" sqref="AC223">
      <formula1>0</formula1>
      <formula2>9.99999999999999E+23</formula2>
    </dataValidation>
    <dataValidation type="decimal" allowBlank="1" showErrorMessage="1" errorTitle="Ошибка" error="Допускается ввод только неотрицательных чисел!" sqref="AE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textLength" operator="lessThanOrEqual" allowBlank="1" showInputMessage="1" showErrorMessage="1" errorTitle="Ошибка" error="Допускается ввод не более 900 символов!" sqref="M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textLength" operator="lessThanOrEqual" allowBlank="1" showInputMessage="1" showErrorMessage="1" errorTitle="Ошибка" error="Допускается ввод не более 900 символов!" sqref="M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textLength" operator="lessThanOrEqual" allowBlank="1" showInputMessage="1" showErrorMessage="1" errorTitle="Ошибка" error="Допускается ввод не более 900 символов!" sqref="M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textLength" operator="lessThanOrEqual" allowBlank="1" showInputMessage="1" showErrorMessage="1" errorTitle="Ошибка" error="Допускается ввод не более 900 символов!" sqref="M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textLength" operator="lessThanOrEqual" allowBlank="1" showInputMessage="1" showErrorMessage="1" errorTitle="Ошибка" error="Допускается ввод не более 900 символов!" sqref="M262">
      <formula1>900</formula1>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textLength" operator="lessThanOrEqual" allowBlank="1" showInputMessage="1" showErrorMessage="1" errorTitle="Ошибка" error="Допускается ввод не более 900 символов!" sqref="M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textLength" operator="lessThanOrEqual" allowBlank="1" showInputMessage="1" showErrorMessage="1" errorTitle="Ошибка" error="Допускается ввод не более 900 символов!" sqref="M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textLength" operator="lessThanOrEqual" allowBlank="1" showInputMessage="1" showErrorMessage="1" errorTitle="Ошибка" error="Допускается ввод не более 900 символов!" sqref="M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decimal" allowBlank="1" showErrorMessage="1" errorTitle="Ошибка" error="Допускается ввод только неотрицательных чисел!" sqref="AC283">
      <formula1>0</formula1>
      <formula2>9.99999999999999E+23</formula2>
    </dataValidation>
    <dataValidation type="decimal" allowBlank="1" showErrorMessage="1" errorTitle="Ошибка" error="Допускается ввод только неотрицательных чисел!" sqref="AE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textLength" operator="lessThanOrEqual" allowBlank="1" showInputMessage="1" showErrorMessage="1" errorTitle="Ошибка" error="Допускается ввод не более 900 символов!" sqref="M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decimal" allowBlank="1" showErrorMessage="1" errorTitle="Ошибка" error="Допускается ввод только неотрицательных чисел!" sqref="AC289">
      <formula1>0</formula1>
      <formula2>9.99999999999999E+23</formula2>
    </dataValidation>
    <dataValidation type="decimal" allowBlank="1" showErrorMessage="1" errorTitle="Ошибка" error="Допускается ввод только неотрицательных чисел!" sqref="AE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textLength" operator="lessThanOrEqual" allowBlank="1" showInputMessage="1" showErrorMessage="1" errorTitle="Ошибка" error="Допускается ввод не более 900 символов!" sqref="M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textLength" operator="lessThanOrEqual" allowBlank="1" showInputMessage="1" showErrorMessage="1" errorTitle="Ошибка" error="Допускается ввод не более 900 символов!" sqref="M304">
      <formula1>900</formula1>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decimal" allowBlank="1" showErrorMessage="1" errorTitle="Ошибка" error="Допускается ввод только неотрицательных чисел!" sqref="AC306">
      <formula1>0</formula1>
      <formula2>9.99999999999999E+23</formula2>
    </dataValidation>
    <dataValidation type="decimal" allowBlank="1" showErrorMessage="1" errorTitle="Ошибка" error="Допускается ввод только неотрицательных чисел!" sqref="AE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textLength" operator="lessThanOrEqual" allowBlank="1" showInputMessage="1" showErrorMessage="1" errorTitle="Ошибка" error="Допускается ввод не более 900 символов!" sqref="M310">
      <formula1>900</formula1>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decimal" allowBlank="1" showErrorMessage="1" errorTitle="Ошибка" error="Допускается ввод только неотрицательных чисел!" sqref="AC312">
      <formula1>0</formula1>
      <formula2>9.99999999999999E+23</formula2>
    </dataValidation>
    <dataValidation type="decimal" allowBlank="1" showErrorMessage="1" errorTitle="Ошибка" error="Допускается ввод только неотрицательных чисел!" sqref="AE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textLength" operator="lessThanOrEqual" allowBlank="1" showInputMessage="1" showErrorMessage="1" errorTitle="Ошибка" error="Допускается ввод не более 900 символов!" sqref="M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decimal" allowBlank="1" showErrorMessage="1" errorTitle="Ошибка" error="Допускается ввод только неотрицательных чисел!" sqref="AC318">
      <formula1>0</formula1>
      <formula2>9.99999999999999E+23</formula2>
    </dataValidation>
    <dataValidation type="decimal" allowBlank="1" showErrorMessage="1" errorTitle="Ошибка" error="Допускается ввод только неотрицательных чисел!" sqref="AE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textLength" operator="lessThanOrEqual" allowBlank="1" showInputMessage="1" showErrorMessage="1" errorTitle="Ошибка" error="Допускается ввод не более 900 символов!" sqref="M322">
      <formula1>900</formula1>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textLength" operator="lessThanOrEqual" allowBlank="1" showInputMessage="1" showErrorMessage="1" errorTitle="Ошибка" error="Допускается ввод не более 900 символов!" sqref="M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textLength" operator="lessThanOrEqual" allowBlank="1" showInputMessage="1" showErrorMessage="1" errorTitle="Ошибка" error="Допускается ввод не более 900 символов!" sqref="M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decimal" allowBlank="1" showErrorMessage="1" errorTitle="Ошибка" error="Допускается ввод только неотрицательных чисел!" sqref="AC337">
      <formula1>0</formula1>
      <formula2>9.99999999999999E+23</formula2>
    </dataValidation>
    <dataValidation type="decimal" allowBlank="1" showErrorMessage="1" errorTitle="Ошибка" error="Допускается ввод только неотрицательных чисел!" sqref="AE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textLength" operator="lessThanOrEqual" allowBlank="1" showInputMessage="1" showErrorMessage="1" errorTitle="Ошибка" error="Допускается ввод не более 900 символов!" sqref="M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textLength" operator="lessThanOrEqual" allowBlank="1" showInputMessage="1" showErrorMessage="1" errorTitle="Ошибка" error="Допускается ввод не более 900 символов!" sqref="K342">
      <formula1>900</formula1>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textLength" operator="lessThanOrEqual" allowBlank="1" showInputMessage="1" showErrorMessage="1" errorTitle="Ошибка" error="Допускается ввод не более 900 символов!" sqref="M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decimal" allowBlank="1" showErrorMessage="1" errorTitle="Ошибка" error="Допускается ввод только неотрицательных чисел!" sqref="AC349">
      <formula1>0</formula1>
      <formula2>9.99999999999999E+23</formula2>
    </dataValidation>
    <dataValidation type="decimal" allowBlank="1" showErrorMessage="1" errorTitle="Ошибка" error="Допускается ввод только неотрицательных чисел!" sqref="AE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textLength" operator="lessThanOrEqual" allowBlank="1" showInputMessage="1" showErrorMessage="1" errorTitle="Ошибка" error="Допускается ввод не более 900 символов!" sqref="M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textLength" operator="lessThanOrEqual" allowBlank="1" showInputMessage="1" showErrorMessage="1" errorTitle="Ошибка" error="Допускается ввод не более 900 символов!" sqref="M364">
      <formula1>900</formula1>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textLength" operator="lessThanOrEqual" allowBlank="1" showInputMessage="1" showErrorMessage="1" errorTitle="Ошибка" error="Допускается ввод не более 900 символов!" sqref="M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textLength" operator="lessThanOrEqual" allowBlank="1" showInputMessage="1" showErrorMessage="1" errorTitle="Ошибка" error="Допускается ввод не более 900 символов!" sqref="M376">
      <formula1>900</formula1>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textLength" operator="lessThanOrEqual" allowBlank="1" showInputMessage="1" showErrorMessage="1" errorTitle="Ошибка" error="Допускается ввод не более 900 символов!" sqref="M383">
      <formula1>900</formula1>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decimal" allowBlank="1" showErrorMessage="1" errorTitle="Ошибка" error="Допускается ввод только неотрицательных чисел!" sqref="AC385">
      <formula1>0</formula1>
      <formula2>9.99999999999999E+23</formula2>
    </dataValidation>
    <dataValidation type="decimal" allowBlank="1" showErrorMessage="1" errorTitle="Ошибка" error="Допускается ввод только неотрицательных чисел!" sqref="AE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textLength" operator="lessThanOrEqual" allowBlank="1" showInputMessage="1" showErrorMessage="1" errorTitle="Ошибка" error="Допускается ввод не более 900 символов!" sqref="M389">
      <formula1>900</formula1>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decimal" allowBlank="1" showErrorMessage="1" errorTitle="Ошибка" error="Допускается ввод только неотрицательных чисел!" sqref="AC391">
      <formula1>0</formula1>
      <formula2>9.99999999999999E+23</formula2>
    </dataValidation>
    <dataValidation type="decimal" allowBlank="1" showErrorMessage="1" errorTitle="Ошибка" error="Допускается ввод только неотрицательных чисел!" sqref="AE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textLength" operator="lessThanOrEqual" allowBlank="1" showInputMessage="1" showErrorMessage="1" errorTitle="Ошибка" error="Допускается ввод не более 900 символов!" sqref="M395">
      <formula1>900</formula1>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decimal" allowBlank="1" showErrorMessage="1" errorTitle="Ошибка" error="Допускается ввод только неотрицательных чисел!" sqref="AC397">
      <formula1>0</formula1>
      <formula2>9.99999999999999E+23</formula2>
    </dataValidation>
    <dataValidation type="decimal" allowBlank="1" showErrorMessage="1" errorTitle="Ошибка" error="Допускается ввод только неотрицательных чисел!" sqref="AE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textLength" operator="lessThanOrEqual" allowBlank="1" showInputMessage="1" showErrorMessage="1" errorTitle="Ошибка" error="Допускается ввод не более 900 символов!" sqref="M401">
      <formula1>900</formula1>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textLength" operator="lessThanOrEqual" allowBlank="1" showInputMessage="1" showErrorMessage="1" errorTitle="Ошибка" error="Допускается ввод не более 900 символов!" sqref="M412">
      <formula1>900</formula1>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textLength" operator="lessThanOrEqual" allowBlank="1" showInputMessage="1" showErrorMessage="1" errorTitle="Ошибка" error="Допускается ввод не более 900 символов!" sqref="M418">
      <formula1>900</formula1>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textLength" operator="lessThanOrEqual" allowBlank="1" showInputMessage="1" showErrorMessage="1" errorTitle="Ошибка" error="Допускается ввод не более 900 символов!" sqref="M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textLength" operator="lessThanOrEqual" allowBlank="1" showInputMessage="1" showErrorMessage="1" errorTitle="Ошибка" error="Допускается ввод не более 900 символов!" sqref="M430">
      <formula1>900</formula1>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textLength" operator="lessThanOrEqual" allowBlank="1" showInputMessage="1" showErrorMessage="1" errorTitle="Ошибка" error="Допускается ввод не более 900 символов!" sqref="M436">
      <formula1>900</formula1>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textLength" operator="lessThanOrEqual" allowBlank="1" showInputMessage="1" showErrorMessage="1" errorTitle="Ошибка" error="Допускается ввод не более 900 символов!" sqref="M443">
      <formula1>900</formula1>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decimal" allowBlank="1" showErrorMessage="1" errorTitle="Ошибка" error="Допускается ввод только неотрицательных чисел!" sqref="AC445">
      <formula1>0</formula1>
      <formula2>9.99999999999999E+23</formula2>
    </dataValidation>
    <dataValidation type="decimal" allowBlank="1" showErrorMessage="1" errorTitle="Ошибка" error="Допускается ввод только неотрицательных чисел!" sqref="AE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textLength" operator="lessThanOrEqual" allowBlank="1" showInputMessage="1" showErrorMessage="1" errorTitle="Ошибка" error="Допускается ввод не более 900 символов!" sqref="M449">
      <formula1>900</formula1>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textLength" operator="lessThanOrEqual" allowBlank="1" showInputMessage="1" showErrorMessage="1" errorTitle="Ошибка" error="Допускается ввод не более 900 символов!" sqref="M455">
      <formula1>900</formula1>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textLength" operator="lessThanOrEqual" allowBlank="1" showInputMessage="1" showErrorMessage="1" errorTitle="Ошибка" error="Допускается ввод не более 900 символов!" sqref="M461">
      <formula1>900</formula1>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textLength" operator="lessThanOrEqual" allowBlank="1" showInputMessage="1" showErrorMessage="1" errorTitle="Ошибка" error="Допускается ввод не более 900 символов!" sqref="M472">
      <formula1>900</formula1>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decimal" allowBlank="1" showErrorMessage="1" errorTitle="Ошибка" error="Допускается ввод только неотрицательных чисел!" sqref="AC474">
      <formula1>0</formula1>
      <formula2>9.99999999999999E+23</formula2>
    </dataValidation>
    <dataValidation type="decimal" allowBlank="1" showErrorMessage="1" errorTitle="Ошибка" error="Допускается ввод только неотрицательных чисел!" sqref="AE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textLength" operator="lessThanOrEqual" allowBlank="1" showInputMessage="1" showErrorMessage="1" errorTitle="Ошибка" error="Допускается ввод не более 900 символов!" sqref="M478">
      <formula1>900</formula1>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decimal" allowBlank="1" showErrorMessage="1" errorTitle="Ошибка" error="Допускается ввод только неотрицательных чисел!" sqref="AC480">
      <formula1>0</formula1>
      <formula2>9.99999999999999E+23</formula2>
    </dataValidation>
    <dataValidation type="decimal" allowBlank="1" showErrorMessage="1" errorTitle="Ошибка" error="Допускается ввод только неотрицательных чисел!" sqref="AE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textLength" operator="lessThanOrEqual" allowBlank="1" showInputMessage="1" showErrorMessage="1" errorTitle="Ошибка" error="Допускается ввод не более 900 символов!" sqref="M484">
      <formula1>900</formula1>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decimal" allowBlank="1" showErrorMessage="1" errorTitle="Ошибка" error="Допускается ввод только неотрицательных чисел!" sqref="AC486">
      <formula1>0</formula1>
      <formula2>9.99999999999999E+23</formula2>
    </dataValidation>
    <dataValidation type="decimal" allowBlank="1" showErrorMessage="1" errorTitle="Ошибка" error="Допускается ввод только неотрицательных чисел!" sqref="AE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textLength" operator="lessThanOrEqual" allowBlank="1" showInputMessage="1" showErrorMessage="1" errorTitle="Ошибка" error="Допускается ввод не более 900 символов!" sqref="M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decimal" allowBlank="1" showErrorMessage="1" errorTitle="Ошибка" error="Допускается ввод только неотрицательных чисел!" sqref="AC492">
      <formula1>0</formula1>
      <formula2>9.99999999999999E+23</formula2>
    </dataValidation>
    <dataValidation type="decimal" allowBlank="1" showErrorMessage="1" errorTitle="Ошибка" error="Допускается ввод только неотрицательных чисел!" sqref="AE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textLength" operator="lessThanOrEqual" allowBlank="1" showInputMessage="1" showErrorMessage="1" errorTitle="Ошибка" error="Допускается ввод не более 900 символов!" sqref="M497">
      <formula1>900</formula1>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textLength" operator="lessThanOrEqual" allowBlank="1" showInputMessage="1" showErrorMessage="1" errorTitle="Ошибка" error="Допускается ввод не более 900 символов!" sqref="K500">
      <formula1>900</formula1>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textLength" operator="lessThanOrEqual" allowBlank="1" showInputMessage="1" showErrorMessage="1" errorTitle="Ошибка" error="Допускается ввод не более 900 символов!" sqref="M509">
      <formula1>900</formula1>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decimal" allowBlank="1" showErrorMessage="1" errorTitle="Ошибка" error="Допускается ввод только неотрицательных чисел!" sqref="AC511">
      <formula1>0</formula1>
      <formula2>9.99999999999999E+23</formula2>
    </dataValidation>
    <dataValidation type="decimal" allowBlank="1" showErrorMessage="1" errorTitle="Ошибка" error="Допускается ввод только неотрицательных чисел!" sqref="AE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textLength" operator="lessThanOrEqual" allowBlank="1" showInputMessage="1" showErrorMessage="1" errorTitle="Ошибка" error="Допускается ввод не более 900 символов!" sqref="M515">
      <formula1>900</formula1>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decimal" allowBlank="1" showErrorMessage="1" errorTitle="Ошибка" error="Допускается ввод только неотрицательных чисел!" sqref="AC517">
      <formula1>0</formula1>
      <formula2>9.99999999999999E+23</formula2>
    </dataValidation>
    <dataValidation type="decimal" allowBlank="1" showErrorMessage="1" errorTitle="Ошибка" error="Допускается ввод только неотрицательных чисел!" sqref="AE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textLength" operator="lessThanOrEqual" allowBlank="1" showInputMessage="1" showErrorMessage="1" errorTitle="Ошибка" error="Допускается ввод не более 900 символов!" sqref="M522">
      <formula1>900</formula1>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decimal" allowBlank="1" showErrorMessage="1" errorTitle="Ошибка" error="Допускается ввод только неотрицательных чисел!" sqref="AC524">
      <formula1>0</formula1>
      <formula2>9.99999999999999E+23</formula2>
    </dataValidation>
    <dataValidation type="decimal" allowBlank="1" showErrorMessage="1" errorTitle="Ошибка" error="Допускается ввод только неотрицательных чисел!" sqref="AE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textLength" operator="lessThanOrEqual" allowBlank="1" showInputMessage="1" showErrorMessage="1" errorTitle="Ошибка" error="Допускается ввод не более 900 символов!" sqref="K528">
      <formula1>900</formula1>
    </dataValidation>
    <dataValidation type="textLength" operator="lessThanOrEqual" allowBlank="1" showInputMessage="1" showErrorMessage="1" errorTitle="Ошибка" error="Допускается ввод не более 900 символов!" sqref="M528">
      <formula1>900</formula1>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decimal" allowBlank="1" showErrorMessage="1" errorTitle="Ошибка" error="Допускается ввод только неотрицательных чисел!" sqref="AC530">
      <formula1>0</formula1>
      <formula2>9.99999999999999E+23</formula2>
    </dataValidation>
    <dataValidation type="decimal" allowBlank="1" showErrorMessage="1" errorTitle="Ошибка" error="Допускается ввод только неотрицательных чисел!" sqref="AE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textLength" operator="lessThanOrEqual" allowBlank="1" showInputMessage="1" showErrorMessage="1" errorTitle="Ошибка" error="Допускается ввод не более 900 символов!" sqref="M534">
      <formula1>900</formula1>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decimal" allowBlank="1" showErrorMessage="1" errorTitle="Ошибка" error="Допускается ввод только неотрицательных чисел!" sqref="AC536">
      <formula1>0</formula1>
      <formula2>9.99999999999999E+23</formula2>
    </dataValidation>
    <dataValidation type="decimal" allowBlank="1" showErrorMessage="1" errorTitle="Ошибка" error="Допускается ввод только неотрицательных чисел!" sqref="AE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textLength" operator="lessThanOrEqual" allowBlank="1" showInputMessage="1" showErrorMessage="1" errorTitle="Ошибка" error="Допускается ввод не более 900 символов!" sqref="M540">
      <formula1>900</formula1>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decimal" allowBlank="1" showErrorMessage="1" errorTitle="Ошибка" error="Допускается ввод только неотрицательных чисел!" sqref="AC542">
      <formula1>0</formula1>
      <formula2>9.99999999999999E+23</formula2>
    </dataValidation>
    <dataValidation type="decimal" allowBlank="1" showErrorMessage="1" errorTitle="Ошибка" error="Допускается ввод только неотрицательных чисел!" sqref="AE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textLength" operator="lessThanOrEqual" allowBlank="1" showInputMessage="1" showErrorMessage="1" errorTitle="Ошибка" error="Допускается ввод не более 900 символов!" sqref="M546">
      <formula1>900</formula1>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decimal" allowBlank="1" showErrorMessage="1" errorTitle="Ошибка" error="Допускается ввод только неотрицательных чисел!" sqref="AC548">
      <formula1>0</formula1>
      <formula2>9.99999999999999E+23</formula2>
    </dataValidation>
    <dataValidation type="decimal" allowBlank="1" showErrorMessage="1" errorTitle="Ошибка" error="Допускается ввод только неотрицательных чисел!" sqref="AE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textLength" operator="lessThanOrEqual" allowBlank="1" showInputMessage="1" showErrorMessage="1" errorTitle="Ошибка" error="Допускается ввод не более 900 символов!" sqref="M563">
      <formula1>900</formula1>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textLength" operator="lessThanOrEqual" allowBlank="1" showInputMessage="1" showErrorMessage="1" errorTitle="Ошибка" error="Допускается ввод не более 900 символов!" sqref="K564">
      <formula1>900</formula1>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textLength" operator="lessThanOrEqual" allowBlank="1" showInputMessage="1" showErrorMessage="1" errorTitle="Ошибка" error="Допускается ввод не более 900 символов!" sqref="K565">
      <formula1>900</formula1>
    </dataValidation>
    <dataValidation type="decimal" allowBlank="1" showErrorMessage="1" errorTitle="Ошибка" error="Допускается ввод только неотрицательных чисел!" sqref="AC565">
      <formula1>0</formula1>
      <formula2>9.99999999999999E+23</formula2>
    </dataValidation>
    <dataValidation type="decimal" allowBlank="1" showErrorMessage="1" errorTitle="Ошибка" error="Допускается ввод только неотрицательных чисел!" sqref="AE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textLength" operator="lessThanOrEqual" allowBlank="1" showInputMessage="1" showErrorMessage="1" errorTitle="Ошибка" error="Допускается ввод не более 900 символов!" sqref="M569">
      <formula1>900</formula1>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textLength" operator="lessThanOrEqual" allowBlank="1" showInputMessage="1" showErrorMessage="1" errorTitle="Ошибка" error="Допускается ввод не более 900 символов!" sqref="K571">
      <formula1>900</formula1>
    </dataValidation>
    <dataValidation type="decimal" allowBlank="1" showErrorMessage="1" errorTitle="Ошибка" error="Допускается ввод только неотрицательных чисел!" sqref="AC571">
      <formula1>0</formula1>
      <formula2>9.99999999999999E+23</formula2>
    </dataValidation>
    <dataValidation type="decimal" allowBlank="1" showErrorMessage="1" errorTitle="Ошибка" error="Допускается ввод только неотрицательных чисел!" sqref="AE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textLength" operator="lessThanOrEqual" allowBlank="1" showInputMessage="1" showErrorMessage="1" errorTitle="Ошибка" error="Допускается ввод не более 900 символов!" sqref="K572">
      <formula1>900</formula1>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textLength" operator="lessThanOrEqual" allowBlank="1" showInputMessage="1" showErrorMessage="1" errorTitle="Ошибка" error="Допускается ввод не более 900 символов!" sqref="M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textLength" operator="lessThanOrEqual" allowBlank="1" showInputMessage="1" showErrorMessage="1" errorTitle="Ошибка" error="Допускается ввод не более 900 символов!" sqref="M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decimal" allowBlank="1" showErrorMessage="1" errorTitle="Ошибка" error="Допускается ввод только неотрицательных чисел!" sqref="AC300">
      <formula1>0</formula1>
      <formula2>9.99999999999999E+23</formula2>
    </dataValidation>
    <dataValidation type="decimal" allowBlank="1" showErrorMessage="1" errorTitle="Ошибка" error="Допускается ввод только неотрицательных чисел!" sqref="AE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textLength" operator="lessThanOrEqual" allowBlank="1" showInputMessage="1" showErrorMessage="1" errorTitle="Ошибка" error="Допускается ввод не более 900 символов!" sqref="M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decimal" allowBlank="1" showErrorMessage="1" errorTitle="Ошибка" error="Допускается ввод только неотрицательных чисел!" sqref="AC354">
      <formula1>0</formula1>
      <formula2>9.99999999999999E+23</formula2>
    </dataValidation>
    <dataValidation type="decimal" allowBlank="1" showErrorMessage="1" errorTitle="Ошибка" error="Допускается ввод только неотрицательных чисел!" sqref="AE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textLength" operator="lessThanOrEqual" allowBlank="1" showInputMessage="1" showErrorMessage="1" errorTitle="Ошибка" error="Допускается ввод не более 900 символов!" sqref="M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textLength" operator="lessThanOrEqual" allowBlank="1" showInputMessage="1" showErrorMessage="1" errorTitle="Ошибка" error="Допускается ввод не более 900 символов!" sqref="M466">
      <formula1>900</formula1>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decimal" allowBlank="1" showErrorMessage="1" errorTitle="Ошибка" error="Допускается ввод только неотрицательных чисел!" sqref="AC468">
      <formula1>0</formula1>
      <formula2>9.99999999999999E+23</formula2>
    </dataValidation>
    <dataValidation type="decimal" allowBlank="1" showErrorMessage="1" errorTitle="Ошибка" error="Допускается ввод только неотрицательных чисел!" sqref="AE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textLength" operator="lessThanOrEqual" allowBlank="1" showInputMessage="1" showErrorMessage="1" errorTitle="Ошибка" error="Допускается ввод не более 900 символов!" sqref="M502">
      <formula1>900</formula1>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decimal" allowBlank="1" showErrorMessage="1" errorTitle="Ошибка" error="Допускается ввод только неотрицательных чисел!" sqref="AC504">
      <formula1>0</formula1>
      <formula2>9.99999999999999E+23</formula2>
    </dataValidation>
    <dataValidation type="decimal" allowBlank="1" showErrorMessage="1" errorTitle="Ошибка" error="Допускается ввод только неотрицательных чисел!" sqref="AE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textLength" operator="lessThanOrEqual" allowBlank="1" showInputMessage="1" showErrorMessage="1" errorTitle="Ошибка" error="Допускается ввод не более 900 символов!" sqref="M551">
      <formula1>900</formula1>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textLength" operator="lessThanOrEqual" allowBlank="1" showInputMessage="1" showErrorMessage="1" errorTitle="Ошибка" error="Допускается ввод не более 900 символов!" sqref="M556">
      <formula1>900</formula1>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decimal" allowBlank="1" showErrorMessage="1" errorTitle="Ошибка" error="Допускается ввод только неотрицательных чисел!" sqref="AC558">
      <formula1>0</formula1>
      <formula2>9.99999999999999E+23</formula2>
    </dataValidation>
    <dataValidation type="decimal" allowBlank="1" showErrorMessage="1" errorTitle="Ошибка" error="Допускается ввод только неотрицательных чисел!" sqref="AE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decimal" allowBlank="1" showErrorMessage="1" errorTitle="Ошибка" error="Допускается ввод только неотрицательных чисел!" sqref="AC559">
      <formula1>0</formula1>
      <formula2>9.99999999999999E+23</formula2>
    </dataValidation>
    <dataValidation type="decimal" allowBlank="1" showErrorMessage="1" errorTitle="Ошибка" error="Допускается ввод только неотрицательных чисел!" sqref="AE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1C243-45A8-5612-14B8-16DC3747DECF}" mc:Ignorable="x14ac xr xr2 xr3">
  <sheetPr>
    <tabColor theme="9" tint="-0.25"/>
  </sheetPr>
  <dimension ref="A1:DW59"/>
  <sheetViews>
    <sheetView showGridLines="0" zoomScale="85" workbookViewId="0">
      <pane xSplit="9" ySplit="13" topLeftCell="J14" activePane="bottomRight" state="frozen"/>
      <selection pane="bottomLeft" activeCell="A14" sqref="A14"/>
      <selection pane="topRight" activeCell="J1" sqref="J1"/>
      <selection pane="bottomRight" activeCell="DW1" sqref="DW1:DW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8" style="1639" width="21.7109375" hidden="1" customWidth="1"/>
    <col min="19" max="19" style="1639" width="0.140625" customWidth="1"/>
    <col min="20" max="30" style="1639" width="21.7109375" hidden="1" customWidth="1"/>
    <col min="31" max="31" style="1639" width="0.140625" customWidth="1"/>
    <col min="32" max="43" style="1639" width="21.7109375" hidden="1" customWidth="1"/>
    <col min="44" max="44" style="1639" width="0.140625" customWidth="1"/>
    <col min="45" max="53" style="1639" width="21.7109375" hidden="1" customWidth="1"/>
    <col min="54" max="54" style="1639" width="0.140625" customWidth="1"/>
    <col min="55" max="63" style="1639" width="21.7109375" hidden="1" customWidth="1"/>
    <col min="64" max="64" style="1639" width="0.140625" customWidth="1"/>
    <col min="65" max="73" style="1639" width="21.7109375" hidden="1" customWidth="1"/>
    <col min="74" max="74" style="1639" width="0.140625" customWidth="1"/>
    <col min="75" max="84" style="1639" width="21.7109375" hidden="1" customWidth="1"/>
    <col min="85" max="85" style="1639" width="0.140625" customWidth="1"/>
    <col min="86" max="94" style="1639" width="21.7109375" hidden="1" customWidth="1"/>
    <col min="95" max="95" style="1639" width="0.140625" customWidth="1"/>
    <col min="96" max="99" style="1639" width="21.7109375" hidden="1" customWidth="1"/>
    <col min="100" max="100" style="1639" width="0.140625" customWidth="1"/>
    <col min="101" max="108" style="1639" width="21.7109375" hidden="1" customWidth="1"/>
    <col min="109" max="109" style="1639" width="0.140625" customWidth="1"/>
    <col min="110" max="110" style="1639" width="1.00390625" customWidth="1"/>
    <col min="111" max="121" style="1639" width="8.00390625" customWidth="1"/>
    <col min="122" max="122" style="1639" width="9.140625" hidden="1"/>
  </cols>
  <sheetData>
    <row s="1370" customFormat="1" customHeight="1" ht="10.5" hidden="1">
      <c r="A1" s="1170"/>
      <c r="B1" s="1170"/>
      <c r="C1" s="1170"/>
      <c r="E1" s="541"/>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AU1" s="1370"/>
      <c r="AV1" s="1370"/>
      <c r="AW1" s="1370"/>
      <c r="AX1" s="1370"/>
      <c r="AY1" s="1370"/>
      <c r="AZ1" s="1370"/>
      <c r="BA1" s="1370"/>
      <c r="BB1" s="1370"/>
      <c r="BC1" s="1370"/>
      <c r="BD1" s="1370"/>
      <c r="BE1" s="1370"/>
      <c r="BF1" s="1370"/>
      <c r="BG1" s="1370"/>
      <c r="BH1" s="1370"/>
      <c r="BI1" s="1370"/>
      <c r="BJ1" s="1370"/>
      <c r="BK1" s="1370"/>
      <c r="BL1" s="1370"/>
      <c r="BM1" s="1370"/>
      <c r="BN1" s="1370"/>
      <c r="BO1" s="1370"/>
      <c r="BP1" s="1370"/>
      <c r="BQ1" s="1370"/>
      <c r="BR1" s="1370"/>
      <c r="BS1" s="1370"/>
      <c r="BT1" s="1370"/>
      <c r="BU1" s="1370"/>
      <c r="BV1" s="1370"/>
      <c r="BW1" s="1370"/>
      <c r="BX1" s="1370"/>
      <c r="BY1" s="1370"/>
      <c r="BZ1" s="1370"/>
      <c r="CA1" s="1370"/>
      <c r="CB1" s="1370"/>
      <c r="CC1" s="1370"/>
      <c r="CD1" s="1370"/>
      <c r="CE1" s="1370"/>
      <c r="CF1" s="1370"/>
      <c r="CG1" s="1370"/>
      <c r="CH1" s="1370"/>
      <c r="CI1" s="1370"/>
      <c r="CJ1" s="1370"/>
      <c r="CK1" s="1370"/>
      <c r="CL1" s="1370"/>
      <c r="CM1" s="1370"/>
      <c r="CN1" s="1370"/>
      <c r="CO1" s="1370"/>
      <c r="CP1" s="1370"/>
      <c r="CQ1" s="1370"/>
      <c r="CR1" s="1370"/>
      <c r="CS1" s="1370"/>
      <c r="CT1" s="1370"/>
      <c r="CU1" s="1370"/>
      <c r="CV1" s="1370"/>
      <c r="CW1" s="1370"/>
      <c r="CX1" s="1370"/>
      <c r="CY1" s="1370"/>
      <c r="CZ1" s="1370"/>
      <c r="DA1" s="1370"/>
      <c r="DB1" s="1370"/>
      <c r="DC1" s="1370"/>
      <c r="DD1" s="1370"/>
      <c r="DE1" s="1370"/>
      <c r="DR1" s="1164" t="s">
        <v>14</v>
      </c>
    </row>
    <row customHeight="1" ht="10.5" hidden="1">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R2" s="1159">
        <v>0</v>
      </c>
    </row>
    <row s="1636" customFormat="1" customHeight="1" ht="10.5" hidden="1">
      <c r="A3" s="1170"/>
      <c r="B3" s="1170"/>
      <c r="C3" s="1170"/>
      <c r="D3" s="1164"/>
      <c r="E3" s="36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M3" s="1636"/>
      <c r="BN3" s="1636"/>
      <c r="BO3" s="1636"/>
      <c r="BP3" s="1636"/>
      <c r="BQ3" s="1636"/>
      <c r="BR3" s="1636"/>
      <c r="BS3" s="1636"/>
      <c r="BT3" s="1636"/>
      <c r="BU3" s="1636"/>
      <c r="BV3" s="1636"/>
      <c r="BW3" s="1636"/>
      <c r="BX3" s="1636"/>
      <c r="BY3" s="1636"/>
      <c r="BZ3" s="1636"/>
      <c r="CA3" s="1636"/>
      <c r="CB3" s="1636"/>
      <c r="CC3" s="1636"/>
      <c r="CD3" s="1636"/>
      <c r="CE3" s="1636"/>
      <c r="CF3" s="1636"/>
      <c r="CG3" s="1636"/>
      <c r="CH3" s="1636"/>
      <c r="CI3" s="1636"/>
      <c r="CJ3" s="1636"/>
      <c r="CK3" s="1636"/>
      <c r="CL3" s="1636"/>
      <c r="CM3" s="1636"/>
      <c r="CN3" s="1636"/>
      <c r="CO3" s="1636"/>
      <c r="CP3" s="1636"/>
      <c r="CQ3" s="1636"/>
      <c r="CR3" s="1636"/>
      <c r="CS3" s="1636"/>
      <c r="CT3" s="1636"/>
      <c r="CU3" s="1636"/>
      <c r="CV3" s="1636"/>
      <c r="CW3" s="1636"/>
      <c r="CX3" s="1636"/>
      <c r="CY3" s="1636"/>
      <c r="CZ3" s="1636"/>
      <c r="DA3" s="1636"/>
      <c r="DB3" s="1636"/>
      <c r="DC3" s="1636"/>
      <c r="DD3" s="1636"/>
      <c r="DE3" s="1636"/>
      <c r="DR3" s="1160">
        <v>0</v>
      </c>
    </row>
    <row customHeight="1" ht="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R4" s="1159">
        <v>3</v>
      </c>
    </row>
    <row customHeight="1" ht="27.299999999999997">
      <c r="F5" s="22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5"/>
      <c r="H5" s="2265"/>
      <c r="I5" s="2265"/>
      <c r="J5" s="2265"/>
      <c r="K5" s="2265"/>
      <c r="L5" s="2265"/>
      <c r="M5" s="2265"/>
      <c r="N5" s="2265"/>
      <c r="O5" s="2265"/>
      <c r="P5" s="2265"/>
      <c r="Q5" s="2265"/>
      <c r="R5" s="2265"/>
      <c r="S5" s="2265"/>
      <c r="T5" s="2265"/>
      <c r="U5" s="2265"/>
      <c r="V5" s="2265"/>
      <c r="W5" s="2265"/>
      <c r="X5" s="2265"/>
      <c r="Y5" s="2265"/>
      <c r="Z5" s="2265"/>
      <c r="AA5" s="2265"/>
      <c r="AB5" s="2265"/>
      <c r="AC5" s="2265"/>
      <c r="AD5" s="2265"/>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5"/>
      <c r="BC5" s="2265"/>
      <c r="BD5" s="2265"/>
      <c r="BE5" s="2265"/>
      <c r="BF5" s="2265"/>
      <c r="BG5" s="2265"/>
      <c r="BH5" s="2265"/>
      <c r="BI5" s="2265"/>
      <c r="BJ5" s="2265"/>
      <c r="BK5" s="2265"/>
      <c r="BL5" s="2265"/>
      <c r="BM5" s="2265"/>
      <c r="BN5" s="2265"/>
      <c r="BO5" s="2265"/>
      <c r="BP5" s="2265"/>
      <c r="BQ5" s="2265"/>
      <c r="BR5" s="2265"/>
      <c r="BS5" s="2265"/>
      <c r="BT5" s="2265"/>
      <c r="BU5" s="2265"/>
      <c r="BV5" s="2265"/>
      <c r="BW5" s="2265"/>
      <c r="BX5" s="2265"/>
      <c r="BY5" s="2265"/>
      <c r="BZ5" s="2265"/>
      <c r="CA5" s="2265"/>
      <c r="CB5" s="2265"/>
      <c r="CC5" s="2265"/>
      <c r="CD5" s="2265"/>
      <c r="CE5" s="2265"/>
      <c r="CF5" s="2265"/>
      <c r="CG5" s="2265"/>
      <c r="CH5" s="2265"/>
      <c r="CI5" s="2265"/>
      <c r="CJ5" s="2265"/>
      <c r="CK5" s="2265"/>
      <c r="CL5" s="2265"/>
      <c r="CM5" s="2265"/>
      <c r="CN5" s="2265"/>
      <c r="CO5" s="2265"/>
      <c r="CP5" s="2265"/>
      <c r="CQ5" s="2265"/>
      <c r="CR5" s="2265"/>
      <c r="CS5" s="2265"/>
      <c r="CT5" s="2265"/>
      <c r="CU5" s="2265"/>
      <c r="CV5" s="2265"/>
      <c r="CW5" s="2265"/>
      <c r="CX5" s="2265"/>
      <c r="CY5" s="2265"/>
      <c r="CZ5" s="2265"/>
      <c r="DA5" s="2265"/>
      <c r="DB5" s="2265"/>
      <c r="DC5" s="2265"/>
      <c r="DD5" s="2265"/>
      <c r="DE5" s="2265"/>
      <c r="DR5" s="1159">
        <v>26</v>
      </c>
    </row>
    <row customHeight="1" ht="10.5">
      <c r="F6" s="2193" t="str">
        <f>IF(org=0,"Не определено",org)</f>
        <v>КГУП "Примтеплоэнерго"</v>
      </c>
      <c r="G6" s="2193"/>
      <c r="H6" s="2193"/>
      <c r="I6" s="2193"/>
      <c r="J6" s="2193"/>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c r="BP6" s="2266"/>
      <c r="BQ6" s="2266"/>
      <c r="BR6" s="2266"/>
      <c r="BS6" s="2266"/>
      <c r="BT6" s="2266"/>
      <c r="BU6" s="2266"/>
      <c r="BV6" s="2266"/>
      <c r="BW6" s="2266"/>
      <c r="BX6" s="2266"/>
      <c r="BY6" s="2266"/>
      <c r="BZ6" s="2266"/>
      <c r="CA6" s="2266"/>
      <c r="CB6" s="2266"/>
      <c r="CC6" s="2266"/>
      <c r="CD6" s="2266"/>
      <c r="CE6" s="2266"/>
      <c r="CF6" s="2266"/>
      <c r="CG6" s="2266"/>
      <c r="CH6" s="2266"/>
      <c r="CI6" s="2266"/>
      <c r="CJ6" s="2266"/>
      <c r="CK6" s="2266"/>
      <c r="CL6" s="2266"/>
      <c r="CM6" s="2266"/>
      <c r="CN6" s="2266"/>
      <c r="CO6" s="2266"/>
      <c r="CP6" s="2266"/>
      <c r="CQ6" s="2266"/>
      <c r="CR6" s="2266"/>
      <c r="CS6" s="2266"/>
      <c r="CT6" s="2266"/>
      <c r="CU6" s="2266"/>
      <c r="CV6" s="2266"/>
      <c r="CW6" s="2266"/>
      <c r="CX6" s="2266"/>
      <c r="CY6" s="2266"/>
      <c r="CZ6" s="2266"/>
      <c r="DA6" s="2266"/>
      <c r="DB6" s="2266"/>
      <c r="DC6" s="2266"/>
      <c r="DD6" s="2266"/>
      <c r="DE6" s="2266"/>
      <c r="DR6" s="1159">
        <v>10</v>
      </c>
    </row>
    <row customHeight="1" ht="11.549999999999999">
      <c r="E7" s="1174"/>
      <c r="F7" s="1231"/>
      <c r="G7" s="1231"/>
      <c r="H7" s="1231"/>
      <c r="I7" s="1231"/>
      <c r="J7" s="1231"/>
      <c r="K7" s="1231" t="s">
        <v>22</v>
      </c>
      <c r="L7" s="1231"/>
      <c r="M7" s="1231" t="s">
        <v>22</v>
      </c>
      <c r="N7" s="1231" t="s">
        <v>22</v>
      </c>
      <c r="O7" s="1231" t="s">
        <v>22</v>
      </c>
      <c r="P7" s="1231" t="s">
        <v>22</v>
      </c>
      <c r="Q7" s="1231" t="s">
        <v>22</v>
      </c>
      <c r="R7" s="1231" t="s">
        <v>22</v>
      </c>
      <c r="S7" s="1231"/>
      <c r="T7" s="1231" t="s">
        <v>22</v>
      </c>
      <c r="U7" s="1231"/>
      <c r="V7" s="1231" t="s">
        <v>22</v>
      </c>
      <c r="W7" s="1231" t="s">
        <v>22</v>
      </c>
      <c r="X7" s="1231" t="s">
        <v>22</v>
      </c>
      <c r="Y7" s="1231" t="s">
        <v>22</v>
      </c>
      <c r="Z7" s="1231" t="s">
        <v>22</v>
      </c>
      <c r="AA7" s="1231" t="s">
        <v>22</v>
      </c>
      <c r="AB7" s="1231" t="s">
        <v>22</v>
      </c>
      <c r="AC7" s="1231" t="s">
        <v>22</v>
      </c>
      <c r="AD7" s="1231" t="s">
        <v>22</v>
      </c>
      <c r="AE7" s="1231"/>
      <c r="AF7" s="1231" t="s">
        <v>22</v>
      </c>
      <c r="AG7" s="1231"/>
      <c r="AH7" s="1231" t="s">
        <v>22</v>
      </c>
      <c r="AI7" s="1231" t="s">
        <v>22</v>
      </c>
      <c r="AJ7" s="1231" t="s">
        <v>22</v>
      </c>
      <c r="AK7" s="1231" t="s">
        <v>22</v>
      </c>
      <c r="AL7" s="1231" t="s">
        <v>22</v>
      </c>
      <c r="AM7" s="1231" t="s">
        <v>22</v>
      </c>
      <c r="AN7" s="1231" t="s">
        <v>22</v>
      </c>
      <c r="AO7" s="1231" t="s">
        <v>22</v>
      </c>
      <c r="AP7" s="1231" t="s">
        <v>22</v>
      </c>
      <c r="AQ7" s="1231" t="s">
        <v>22</v>
      </c>
      <c r="AR7" s="1231"/>
      <c r="AS7" s="1231" t="s">
        <v>22</v>
      </c>
      <c r="AT7" s="1231"/>
      <c r="AU7" s="1231" t="s">
        <v>22</v>
      </c>
      <c r="AV7" s="1231" t="s">
        <v>22</v>
      </c>
      <c r="AW7" s="1231" t="s">
        <v>22</v>
      </c>
      <c r="AX7" s="1231" t="s">
        <v>22</v>
      </c>
      <c r="AY7" s="1231" t="s">
        <v>22</v>
      </c>
      <c r="AZ7" s="1231" t="s">
        <v>22</v>
      </c>
      <c r="BA7" s="1231" t="s">
        <v>22</v>
      </c>
      <c r="BB7" s="1231"/>
      <c r="BC7" s="1231" t="s">
        <v>22</v>
      </c>
      <c r="BD7" s="1231"/>
      <c r="BE7" s="1231" t="s">
        <v>22</v>
      </c>
      <c r="BF7" s="1231" t="s">
        <v>22</v>
      </c>
      <c r="BG7" s="1231" t="s">
        <v>22</v>
      </c>
      <c r="BH7" s="1231" t="s">
        <v>22</v>
      </c>
      <c r="BI7" s="1231" t="s">
        <v>22</v>
      </c>
      <c r="BJ7" s="1231" t="s">
        <v>22</v>
      </c>
      <c r="BK7" s="1231" t="s">
        <v>22</v>
      </c>
      <c r="BL7" s="1231"/>
      <c r="BM7" s="1231" t="s">
        <v>22</v>
      </c>
      <c r="BN7" s="1231"/>
      <c r="BO7" s="1231" t="s">
        <v>22</v>
      </c>
      <c r="BP7" s="1231" t="s">
        <v>22</v>
      </c>
      <c r="BQ7" s="1231" t="s">
        <v>22</v>
      </c>
      <c r="BR7" s="1231" t="s">
        <v>22</v>
      </c>
      <c r="BS7" s="1231" t="s">
        <v>22</v>
      </c>
      <c r="BT7" s="1231" t="s">
        <v>22</v>
      </c>
      <c r="BU7" s="1231" t="s">
        <v>22</v>
      </c>
      <c r="BV7" s="1231"/>
      <c r="BW7" s="1231" t="s">
        <v>22</v>
      </c>
      <c r="BX7" s="1231"/>
      <c r="BY7" s="1231" t="s">
        <v>22</v>
      </c>
      <c r="BZ7" s="1231" t="s">
        <v>22</v>
      </c>
      <c r="CA7" s="1231" t="s">
        <v>22</v>
      </c>
      <c r="CB7" s="1231" t="s">
        <v>22</v>
      </c>
      <c r="CC7" s="1231" t="s">
        <v>22</v>
      </c>
      <c r="CD7" s="1231" t="s">
        <v>22</v>
      </c>
      <c r="CE7" s="1231" t="s">
        <v>22</v>
      </c>
      <c r="CF7" s="1231" t="s">
        <v>22</v>
      </c>
      <c r="CG7" s="1231"/>
      <c r="CH7" s="1231" t="s">
        <v>22</v>
      </c>
      <c r="CI7" s="1231"/>
      <c r="CJ7" s="1231" t="s">
        <v>22</v>
      </c>
      <c r="CK7" s="1231" t="s">
        <v>22</v>
      </c>
      <c r="CL7" s="1231" t="s">
        <v>22</v>
      </c>
      <c r="CM7" s="1231" t="s">
        <v>22</v>
      </c>
      <c r="CN7" s="1231" t="s">
        <v>22</v>
      </c>
      <c r="CO7" s="1231" t="s">
        <v>22</v>
      </c>
      <c r="CP7" s="1231" t="s">
        <v>22</v>
      </c>
      <c r="CQ7" s="1231"/>
      <c r="CR7" s="1231" t="s">
        <v>22</v>
      </c>
      <c r="CS7" s="1231"/>
      <c r="CT7" s="1231" t="s">
        <v>22</v>
      </c>
      <c r="CU7" s="1231" t="s">
        <v>22</v>
      </c>
      <c r="CV7" s="1231"/>
      <c r="CW7" s="1231" t="s">
        <v>22</v>
      </c>
      <c r="CX7" s="1231"/>
      <c r="CY7" s="1231" t="s">
        <v>22</v>
      </c>
      <c r="CZ7" s="1231" t="s">
        <v>22</v>
      </c>
      <c r="DA7" s="1231" t="s">
        <v>22</v>
      </c>
      <c r="DB7" s="1231" t="s">
        <v>22</v>
      </c>
      <c r="DC7" s="1231" t="s">
        <v>22</v>
      </c>
      <c r="DD7" s="1231" t="s">
        <v>22</v>
      </c>
      <c r="DE7" s="1231"/>
      <c r="DF7" s="1161"/>
      <c r="DG7" s="1161"/>
      <c r="DH7" s="1161"/>
      <c r="DI7" s="1161"/>
      <c r="DJ7" s="1161"/>
      <c r="DK7" s="1161"/>
      <c r="DL7" s="1161"/>
      <c r="DM7" s="1161"/>
      <c r="DN7" s="1161"/>
      <c r="DO7" s="1161"/>
      <c r="DP7" s="1161"/>
      <c r="DQ7" s="1161"/>
      <c r="DR7" s="1159">
        <v>11</v>
      </c>
    </row>
    <row s="1646" customFormat="1" customHeight="1" ht="4.2">
      <c r="A8" s="1171"/>
      <c r="B8" s="1171"/>
      <c r="C8" s="1171"/>
      <c r="E8" s="1232"/>
      <c r="F8" s="1233"/>
      <c r="G8" s="1233"/>
      <c r="H8" s="1233"/>
      <c r="I8" s="1233"/>
      <c r="J8" s="1233"/>
      <c r="K8" s="1233" t="s">
        <v>1198</v>
      </c>
      <c r="L8" s="1233"/>
      <c r="M8" s="1233"/>
      <c r="N8" s="1233"/>
      <c r="O8" s="1233"/>
      <c r="P8" s="1233"/>
      <c r="Q8" s="1233"/>
      <c r="R8" s="1233"/>
      <c r="S8" s="1233"/>
      <c r="T8" s="1233" t="s">
        <v>1209</v>
      </c>
      <c r="U8" s="1233"/>
      <c r="V8" s="1233"/>
      <c r="W8" s="1233"/>
      <c r="X8" s="1233"/>
      <c r="Y8" s="1233"/>
      <c r="Z8" s="1233"/>
      <c r="AA8" s="1233"/>
      <c r="AB8" s="1233"/>
      <c r="AC8" s="1233"/>
      <c r="AD8" s="1233"/>
      <c r="AE8" s="1233"/>
      <c r="AF8" s="1233" t="s">
        <v>1219</v>
      </c>
      <c r="AG8" s="1233"/>
      <c r="AH8" s="1233"/>
      <c r="AI8" s="1233"/>
      <c r="AJ8" s="1233"/>
      <c r="AK8" s="1233"/>
      <c r="AL8" s="1233"/>
      <c r="AM8" s="1233"/>
      <c r="AN8" s="1233"/>
      <c r="AO8" s="1233"/>
      <c r="AP8" s="1233"/>
      <c r="AQ8" s="1233"/>
      <c r="AR8" s="1233"/>
      <c r="AS8" s="1233" t="s">
        <v>1225</v>
      </c>
      <c r="AT8" s="1233"/>
      <c r="AU8" s="1233"/>
      <c r="AV8" s="1233"/>
      <c r="AW8" s="1233"/>
      <c r="AX8" s="1233"/>
      <c r="AY8" s="1233"/>
      <c r="AZ8" s="1233"/>
      <c r="BA8" s="1233"/>
      <c r="BB8" s="1233"/>
      <c r="BC8" s="1233" t="s">
        <v>1232</v>
      </c>
      <c r="BD8" s="1233"/>
      <c r="BE8" s="1233"/>
      <c r="BF8" s="1233"/>
      <c r="BG8" s="1233"/>
      <c r="BH8" s="1233"/>
      <c r="BI8" s="1233"/>
      <c r="BJ8" s="1233"/>
      <c r="BK8" s="1233"/>
      <c r="BL8" s="1233"/>
      <c r="BM8" s="1233" t="s">
        <v>1239</v>
      </c>
      <c r="BN8" s="1233"/>
      <c r="BO8" s="1233"/>
      <c r="BP8" s="1233"/>
      <c r="BQ8" s="1233"/>
      <c r="BR8" s="1233"/>
      <c r="BS8" s="1233"/>
      <c r="BT8" s="1233"/>
      <c r="BU8" s="1233"/>
      <c r="BV8" s="1233"/>
      <c r="BW8" s="1233" t="s">
        <v>1246</v>
      </c>
      <c r="BX8" s="1233"/>
      <c r="BY8" s="1233"/>
      <c r="BZ8" s="1233"/>
      <c r="CA8" s="1233"/>
      <c r="CB8" s="1233"/>
      <c r="CC8" s="1233"/>
      <c r="CD8" s="1233"/>
      <c r="CE8" s="1233"/>
      <c r="CF8" s="1233"/>
      <c r="CG8" s="1233"/>
      <c r="CH8" s="1233" t="s">
        <v>1253</v>
      </c>
      <c r="CI8" s="1233"/>
      <c r="CJ8" s="1233"/>
      <c r="CK8" s="1233"/>
      <c r="CL8" s="1233"/>
      <c r="CM8" s="1233"/>
      <c r="CN8" s="1233"/>
      <c r="CO8" s="1233"/>
      <c r="CP8" s="1233"/>
      <c r="CQ8" s="1233"/>
      <c r="CR8" s="1233" t="s">
        <v>1260</v>
      </c>
      <c r="CS8" s="1233"/>
      <c r="CT8" s="1233"/>
      <c r="CU8" s="1233"/>
      <c r="CV8" s="1233"/>
      <c r="CW8" s="1233" t="s">
        <v>1269</v>
      </c>
      <c r="CX8" s="1233"/>
      <c r="CY8" s="1233"/>
      <c r="CZ8" s="1233"/>
      <c r="DA8" s="1233"/>
      <c r="DB8" s="1233"/>
      <c r="DC8" s="1233"/>
      <c r="DD8" s="1233"/>
      <c r="DE8" s="1233"/>
      <c r="DF8" s="1232"/>
      <c r="DG8" s="1232"/>
      <c r="DH8" s="1232"/>
      <c r="DI8" s="1232"/>
      <c r="DJ8" s="1232"/>
      <c r="DK8" s="1232"/>
      <c r="DL8" s="1232"/>
      <c r="DM8" s="1232"/>
      <c r="DN8" s="1232"/>
      <c r="DO8" s="1232"/>
      <c r="DP8" s="1232"/>
      <c r="DQ8" s="1232"/>
      <c r="DR8" s="515">
        <v>4</v>
      </c>
    </row>
    <row customHeight="1" ht="10.5">
      <c r="E9" s="1174"/>
      <c r="F9" s="2436" t="s">
        <v>438</v>
      </c>
      <c r="G9" s="2437"/>
      <c r="H9" s="2437"/>
      <c r="I9" s="2437"/>
      <c r="J9" s="2437"/>
      <c r="K9" s="2437"/>
      <c r="L9" s="2437"/>
      <c r="M9" s="2437"/>
      <c r="N9" s="2437"/>
      <c r="O9" s="2437"/>
      <c r="P9" s="2437"/>
      <c r="Q9" s="2437"/>
      <c r="R9" s="2437"/>
      <c r="S9" s="2437"/>
      <c r="T9" s="2437"/>
      <c r="U9" s="2437"/>
      <c r="V9" s="2437"/>
      <c r="W9" s="2437"/>
      <c r="X9" s="2437"/>
      <c r="Y9" s="2437"/>
      <c r="Z9" s="2437"/>
      <c r="AA9" s="2437"/>
      <c r="AB9" s="2437"/>
      <c r="AC9" s="2437"/>
      <c r="AD9" s="2437"/>
      <c r="AE9" s="2437"/>
      <c r="AF9" s="2437"/>
      <c r="AG9" s="2437"/>
      <c r="AH9" s="2437"/>
      <c r="AI9" s="2437"/>
      <c r="AJ9" s="2437"/>
      <c r="AK9" s="2437"/>
      <c r="AL9" s="2437"/>
      <c r="AM9" s="2437"/>
      <c r="AN9" s="2437"/>
      <c r="AO9" s="2437"/>
      <c r="AP9" s="2437"/>
      <c r="AQ9" s="2437"/>
      <c r="AR9" s="2437"/>
      <c r="AS9" s="2437"/>
      <c r="AT9" s="2437"/>
      <c r="AU9" s="2437"/>
      <c r="AV9" s="2437"/>
      <c r="AW9" s="2437"/>
      <c r="AX9" s="2437"/>
      <c r="AY9" s="2437"/>
      <c r="AZ9" s="2437"/>
      <c r="BA9" s="2437"/>
      <c r="BB9" s="2437"/>
      <c r="BC9" s="2437"/>
      <c r="BD9" s="2437"/>
      <c r="BE9" s="2437"/>
      <c r="BF9" s="2437"/>
      <c r="BG9" s="2437"/>
      <c r="BH9" s="2437"/>
      <c r="BI9" s="2437"/>
      <c r="BJ9" s="2437"/>
      <c r="BK9" s="2437"/>
      <c r="BL9" s="2437"/>
      <c r="BM9" s="2437"/>
      <c r="BN9" s="2437"/>
      <c r="BO9" s="2437"/>
      <c r="BP9" s="2437"/>
      <c r="BQ9" s="2437"/>
      <c r="BR9" s="2437"/>
      <c r="BS9" s="2437"/>
      <c r="BT9" s="2437"/>
      <c r="BU9" s="2437"/>
      <c r="BV9" s="2437"/>
      <c r="BW9" s="2437"/>
      <c r="BX9" s="2437"/>
      <c r="BY9" s="2437"/>
      <c r="BZ9" s="2437"/>
      <c r="CA9" s="2437"/>
      <c r="CB9" s="2437"/>
      <c r="CC9" s="2437"/>
      <c r="CD9" s="2437"/>
      <c r="CE9" s="2437"/>
      <c r="CF9" s="2437"/>
      <c r="CG9" s="2437"/>
      <c r="CH9" s="2437"/>
      <c r="CI9" s="2437"/>
      <c r="CJ9" s="2437"/>
      <c r="CK9" s="2437"/>
      <c r="CL9" s="2437"/>
      <c r="CM9" s="2437"/>
      <c r="CN9" s="2437"/>
      <c r="CO9" s="2437"/>
      <c r="CP9" s="2437"/>
      <c r="CQ9" s="2437"/>
      <c r="CR9" s="2437"/>
      <c r="CS9" s="2437"/>
      <c r="CT9" s="2437"/>
      <c r="CU9" s="2437"/>
      <c r="CV9" s="2437"/>
      <c r="CW9" s="2437"/>
      <c r="CX9" s="2437"/>
      <c r="CY9" s="2437"/>
      <c r="CZ9" s="2437"/>
      <c r="DA9" s="2437"/>
      <c r="DB9" s="2437"/>
      <c r="DC9" s="2437"/>
      <c r="DD9" s="2437"/>
      <c r="DE9" s="2437"/>
      <c r="DF9" s="1244"/>
      <c r="DG9" s="1161"/>
      <c r="DH9" s="1161"/>
      <c r="DI9" s="1161"/>
      <c r="DJ9" s="1161"/>
      <c r="DK9" s="1161"/>
      <c r="DL9" s="1161"/>
      <c r="DM9" s="1161"/>
      <c r="DN9" s="1161"/>
      <c r="DO9" s="1161"/>
      <c r="DP9" s="1161"/>
      <c r="DQ9" s="1161"/>
      <c r="DR9" s="1159">
        <v>10</v>
      </c>
    </row>
    <row customHeight="1" ht="25.2">
      <c r="E10" s="1161"/>
      <c r="F10" s="2440" t="s">
        <v>87</v>
      </c>
      <c r="G10" s="2445" t="s">
        <v>1346</v>
      </c>
      <c r="H10" s="2443" t="s">
        <v>1347</v>
      </c>
      <c r="I10" s="2443"/>
      <c r="J10" s="2443"/>
      <c r="K10" s="2443" t="s">
        <v>1347</v>
      </c>
      <c r="L10" s="2443"/>
      <c r="M10" s="2443"/>
      <c r="N10" s="2443"/>
      <c r="O10" s="2443"/>
      <c r="P10" s="2443"/>
      <c r="Q10" s="2443"/>
      <c r="R10" s="2443"/>
      <c r="S10" s="2443"/>
      <c r="T10" s="2443" t="s">
        <v>1347</v>
      </c>
      <c r="U10" s="2443"/>
      <c r="V10" s="2443"/>
      <c r="W10" s="2443"/>
      <c r="X10" s="2443"/>
      <c r="Y10" s="2443"/>
      <c r="Z10" s="2443"/>
      <c r="AA10" s="2443"/>
      <c r="AB10" s="2443"/>
      <c r="AC10" s="2443"/>
      <c r="AD10" s="2443"/>
      <c r="AE10" s="2443"/>
      <c r="AF10" s="2443" t="s">
        <v>1347</v>
      </c>
      <c r="AG10" s="2443"/>
      <c r="AH10" s="2443"/>
      <c r="AI10" s="2443"/>
      <c r="AJ10" s="2443"/>
      <c r="AK10" s="2443"/>
      <c r="AL10" s="2443"/>
      <c r="AM10" s="2443"/>
      <c r="AN10" s="2443"/>
      <c r="AO10" s="2443"/>
      <c r="AP10" s="2443"/>
      <c r="AQ10" s="2443"/>
      <c r="AR10" s="2443"/>
      <c r="AS10" s="2443" t="s">
        <v>1347</v>
      </c>
      <c r="AT10" s="2443"/>
      <c r="AU10" s="2443"/>
      <c r="AV10" s="2443"/>
      <c r="AW10" s="2443"/>
      <c r="AX10" s="2443"/>
      <c r="AY10" s="2443"/>
      <c r="AZ10" s="2443"/>
      <c r="BA10" s="2443"/>
      <c r="BB10" s="2443"/>
      <c r="BC10" s="2443" t="s">
        <v>1347</v>
      </c>
      <c r="BD10" s="2443"/>
      <c r="BE10" s="2443"/>
      <c r="BF10" s="2443"/>
      <c r="BG10" s="2443"/>
      <c r="BH10" s="2443"/>
      <c r="BI10" s="2443"/>
      <c r="BJ10" s="2443"/>
      <c r="BK10" s="2443"/>
      <c r="BL10" s="2443"/>
      <c r="BM10" s="2443" t="s">
        <v>1347</v>
      </c>
      <c r="BN10" s="2443"/>
      <c r="BO10" s="2443"/>
      <c r="BP10" s="2443"/>
      <c r="BQ10" s="2443"/>
      <c r="BR10" s="2443"/>
      <c r="BS10" s="2443"/>
      <c r="BT10" s="2443"/>
      <c r="BU10" s="2443"/>
      <c r="BV10" s="2443"/>
      <c r="BW10" s="2443" t="s">
        <v>1347</v>
      </c>
      <c r="BX10" s="2443"/>
      <c r="BY10" s="2443"/>
      <c r="BZ10" s="2443"/>
      <c r="CA10" s="2443"/>
      <c r="CB10" s="2443"/>
      <c r="CC10" s="2443"/>
      <c r="CD10" s="2443"/>
      <c r="CE10" s="2443"/>
      <c r="CF10" s="2443"/>
      <c r="CG10" s="2443"/>
      <c r="CH10" s="2443" t="s">
        <v>1347</v>
      </c>
      <c r="CI10" s="2443"/>
      <c r="CJ10" s="2443"/>
      <c r="CK10" s="2443"/>
      <c r="CL10" s="2443"/>
      <c r="CM10" s="2443"/>
      <c r="CN10" s="2443"/>
      <c r="CO10" s="2443"/>
      <c r="CP10" s="2443"/>
      <c r="CQ10" s="2443"/>
      <c r="CR10" s="2443" t="s">
        <v>1347</v>
      </c>
      <c r="CS10" s="2443"/>
      <c r="CT10" s="2443"/>
      <c r="CU10" s="2443"/>
      <c r="CV10" s="2443"/>
      <c r="CW10" s="2443" t="s">
        <v>1347</v>
      </c>
      <c r="CX10" s="2443"/>
      <c r="CY10" s="2443"/>
      <c r="CZ10" s="2443"/>
      <c r="DA10" s="2443"/>
      <c r="DB10" s="2443"/>
      <c r="DC10" s="2443"/>
      <c r="DD10" s="2443"/>
      <c r="DE10" s="2443"/>
      <c r="DF10" s="1237"/>
      <c r="DG10" s="1161"/>
      <c r="DH10" s="1161"/>
      <c r="DI10" s="1161"/>
      <c r="DJ10" s="1161"/>
      <c r="DK10" s="1161"/>
      <c r="DL10" s="1161"/>
      <c r="DM10" s="1161"/>
      <c r="DN10" s="1161"/>
      <c r="DO10" s="1161"/>
      <c r="DP10" s="1161"/>
      <c r="DQ10" s="1161"/>
      <c r="DR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2444" t="str">
        <f>INDEX(IP_MAIN_LIST_NAME_IP,MATCH(K8,IP_MAIN_LIST_IP_ID,0))&amp;" ("&amp;INDEX(IP_MAIN_START_DATE,MATCH(K8,IP_MAIN_LIST_IP_ID,0))&amp;"-"&amp;INDEX(IP_MAIN_END_DATE,MATCH(K8,IP_MAIN_LIST_IP_ID,0))&amp;")"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L11" s="2444"/>
      <c r="M11" s="2444"/>
      <c r="N11" s="2444"/>
      <c r="O11" s="2444"/>
      <c r="P11" s="2444"/>
      <c r="Q11" s="2444"/>
      <c r="R11" s="2444"/>
      <c r="S11" s="2444"/>
      <c r="T11" s="2444" t="str">
        <f>INDEX(IP_MAIN_LIST_NAME_IP,MATCH(T8,IP_MAIN_LIST_IP_ID,0))&amp;" ("&amp;INDEX(IP_MAIN_START_DATE,MATCH(T8,IP_MAIN_LIST_IP_ID,0))&amp;"-"&amp;INDEX(IP_MAIN_END_DATE,MATCH(T8,IP_MAIN_LIST_IP_ID,0))&amp;")"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U11" s="2444"/>
      <c r="V11" s="2444"/>
      <c r="W11" s="2444"/>
      <c r="X11" s="2444"/>
      <c r="Y11" s="2444"/>
      <c r="Z11" s="2444"/>
      <c r="AA11" s="2444"/>
      <c r="AB11" s="2444"/>
      <c r="AC11" s="2444"/>
      <c r="AD11" s="2444"/>
      <c r="AE11" s="2444"/>
      <c r="AF11" s="2444" t="str">
        <f>INDEX(IP_MAIN_LIST_NAME_IP,MATCH(AF8,IP_MAIN_LIST_IP_ID,0))&amp;" ("&amp;INDEX(IP_MAIN_START_DATE,MATCH(AF8,IP_MAIN_LIST_IP_ID,0))&amp;"-"&amp;INDEX(IP_MAIN_END_DATE,MATCH(AF8,IP_MAIN_LIST_IP_ID,0))&amp;")"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 (01.01.2021-31.12.2031)</v>
      </c>
      <c r="AG11" s="2444"/>
      <c r="AH11" s="2444"/>
      <c r="AI11" s="2444"/>
      <c r="AJ11" s="2444"/>
      <c r="AK11" s="2444"/>
      <c r="AL11" s="2444"/>
      <c r="AM11" s="2444"/>
      <c r="AN11" s="2444"/>
      <c r="AO11" s="2444"/>
      <c r="AP11" s="2444"/>
      <c r="AQ11" s="2444"/>
      <c r="AR11" s="2444"/>
      <c r="AS11" s="2444" t="str">
        <f>INDEX(IP_MAIN_LIST_NAME_IP,MATCH(AS8,IP_MAIN_LIST_IP_ID,0))&amp;" ("&amp;INDEX(IP_MAIN_START_DATE,MATCH(AS8,IP_MAIN_LIST_IP_ID,0))&amp;"-"&amp;INDEX(IP_MAIN_END_DATE,MATCH(AS8,IP_MAIN_LIST_IP_ID,0))&amp;")"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AT11" s="2444"/>
      <c r="AU11" s="2444"/>
      <c r="AV11" s="2444"/>
      <c r="AW11" s="2444"/>
      <c r="AX11" s="2444"/>
      <c r="AY11" s="2444"/>
      <c r="AZ11" s="2444"/>
      <c r="BA11" s="2444"/>
      <c r="BB11" s="2444"/>
      <c r="BC11" s="2444" t="str">
        <f>INDEX(IP_MAIN_LIST_NAME_IP,MATCH(BC8,IP_MAIN_LIST_IP_ID,0))&amp;" ("&amp;INDEX(IP_MAIN_START_DATE,MATCH(BC8,IP_MAIN_LIST_IP_ID,0))&amp;"-"&amp;INDEX(IP_MAIN_END_DATE,MATCH(BC8,IP_MAIN_LIST_IP_ID,0))&amp;")"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BD11" s="2444"/>
      <c r="BE11" s="2444"/>
      <c r="BF11" s="2444"/>
      <c r="BG11" s="2444"/>
      <c r="BH11" s="2444"/>
      <c r="BI11" s="2444"/>
      <c r="BJ11" s="2444"/>
      <c r="BK11" s="2444"/>
      <c r="BL11" s="2444"/>
      <c r="BM11" s="2444" t="str">
        <f>INDEX(IP_MAIN_LIST_NAME_IP,MATCH(BM8,IP_MAIN_LIST_IP_ID,0))&amp;" ("&amp;INDEX(IP_MAIN_START_DATE,MATCH(BM8,IP_MAIN_LIST_IP_ID,0))&amp;"-"&amp;INDEX(IP_MAIN_END_DATE,MATCH(BM8,IP_MAIN_LIST_IP_ID,0))&amp;")"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BN11" s="2444"/>
      <c r="BO11" s="2444"/>
      <c r="BP11" s="2444"/>
      <c r="BQ11" s="2444"/>
      <c r="BR11" s="2444"/>
      <c r="BS11" s="2444"/>
      <c r="BT11" s="2444"/>
      <c r="BU11" s="2444"/>
      <c r="BV11" s="2444"/>
      <c r="BW11" s="2444" t="str">
        <f>INDEX(IP_MAIN_LIST_NAME_IP,MATCH(BW8,IP_MAIN_LIST_IP_ID,0))&amp;" ("&amp;INDEX(IP_MAIN_START_DATE,MATCH(BW8,IP_MAIN_LIST_IP_ID,0))&amp;"-"&amp;INDEX(IP_MAIN_END_DATE,MATCH(BW8,IP_MAIN_LIST_IP_ID,0))&amp;")"</f>
        <v>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 (01.01.2021-31.12.2029)</v>
      </c>
      <c r="BX11" s="2444"/>
      <c r="BY11" s="2444"/>
      <c r="BZ11" s="2444"/>
      <c r="CA11" s="2444"/>
      <c r="CB11" s="2444"/>
      <c r="CC11" s="2444"/>
      <c r="CD11" s="2444"/>
      <c r="CE11" s="2444"/>
      <c r="CF11" s="2444"/>
      <c r="CG11" s="2444"/>
      <c r="CH11" s="2444" t="str">
        <f>INDEX(IP_MAIN_LIST_NAME_IP,MATCH(CH8,IP_MAIN_LIST_IP_ID,0))&amp;" ("&amp;INDEX(IP_MAIN_START_DATE,MATCH(CH8,IP_MAIN_LIST_IP_ID,0))&amp;"-"&amp;INDEX(IP_MAIN_END_DATE,MATCH(CH8,IP_MAIN_LIST_IP_ID,0))&amp;")"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I11" s="2444"/>
      <c r="CJ11" s="2444"/>
      <c r="CK11" s="2444"/>
      <c r="CL11" s="2444"/>
      <c r="CM11" s="2444"/>
      <c r="CN11" s="2444"/>
      <c r="CO11" s="2444"/>
      <c r="CP11" s="2444"/>
      <c r="CQ11" s="2444"/>
      <c r="CR11" s="2444" t="str">
        <f>INDEX(IP_MAIN_LIST_NAME_IP,MATCH(CR8,IP_MAIN_LIST_IP_ID,0))&amp;" ("&amp;INDEX(IP_MAIN_START_DATE,MATCH(CR8,IP_MAIN_LIST_IP_ID,0))&amp;"-"&amp;INDEX(IP_MAIN_END_DATE,MATCH(CR8,IP_MAIN_LIST_IP_ID,0))&amp;")"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CS11" s="2444"/>
      <c r="CT11" s="2444"/>
      <c r="CU11" s="2444"/>
      <c r="CV11" s="2444"/>
      <c r="CW11" s="2444" t="str">
        <f>INDEX(IP_MAIN_LIST_NAME_IP,MATCH(CW8,IP_MAIN_LIST_IP_ID,0))&amp;" ("&amp;INDEX(IP_MAIN_START_DATE,MATCH(CW8,IP_MAIN_LIST_IP_ID,0))&amp;"-"&amp;INDEX(IP_MAIN_END_DATE,MATCH(CW8,IP_MAIN_LIST_IP_ID,0))&amp;")"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CX11" s="2444"/>
      <c r="CY11" s="2444"/>
      <c r="CZ11" s="2444"/>
      <c r="DA11" s="2444"/>
      <c r="DB11" s="2444"/>
      <c r="DC11" s="2444"/>
      <c r="DD11" s="2444"/>
      <c r="DE11" s="2444"/>
      <c r="DF11" s="1237"/>
      <c r="DG11" s="1161"/>
      <c r="DH11" s="1161"/>
      <c r="DI11" s="1161"/>
      <c r="DJ11" s="1161"/>
      <c r="DK11" s="1161"/>
      <c r="DL11" s="1161"/>
      <c r="DM11" s="1161"/>
      <c r="DN11" s="1161"/>
      <c r="DO11" s="1161"/>
      <c r="DP11" s="1161"/>
      <c r="DQ11" s="1161"/>
      <c r="DR11" s="1159">
        <v>24</v>
      </c>
    </row>
    <row customHeight="1" ht="10.5">
      <c r="F12" s="2442"/>
      <c r="G12" s="2445"/>
      <c r="H12" s="1230" t="s">
        <v>1348</v>
      </c>
      <c r="I12" s="1236"/>
      <c r="J12" s="1230"/>
      <c r="K12" s="2445" t="s">
        <v>1348</v>
      </c>
      <c r="L12" s="1236">
        <v>2022</v>
      </c>
      <c r="M12" s="1236">
        <v>2023</v>
      </c>
      <c r="N12" s="1236">
        <v>2024</v>
      </c>
      <c r="O12" s="1236">
        <v>2025</v>
      </c>
      <c r="P12" s="1236">
        <v>2026</v>
      </c>
      <c r="Q12" s="1236">
        <v>2027</v>
      </c>
      <c r="R12" s="1236">
        <v>2028</v>
      </c>
      <c r="S12" s="2445"/>
      <c r="T12" s="2445" t="s">
        <v>1348</v>
      </c>
      <c r="U12" s="1236">
        <v>2017</v>
      </c>
      <c r="V12" s="1236">
        <v>2018</v>
      </c>
      <c r="W12" s="1236">
        <v>2019</v>
      </c>
      <c r="X12" s="1236">
        <v>2020</v>
      </c>
      <c r="Y12" s="1236">
        <v>2021</v>
      </c>
      <c r="Z12" s="1236">
        <v>2022</v>
      </c>
      <c r="AA12" s="1236">
        <v>2023</v>
      </c>
      <c r="AB12" s="1236">
        <v>2024</v>
      </c>
      <c r="AC12" s="1236">
        <v>2025</v>
      </c>
      <c r="AD12" s="1236">
        <v>2026</v>
      </c>
      <c r="AE12" s="2445"/>
      <c r="AF12" s="2445" t="s">
        <v>1348</v>
      </c>
      <c r="AG12" s="1236">
        <v>2021</v>
      </c>
      <c r="AH12" s="1236">
        <v>2022</v>
      </c>
      <c r="AI12" s="1236">
        <v>2023</v>
      </c>
      <c r="AJ12" s="1236">
        <v>2024</v>
      </c>
      <c r="AK12" s="1236">
        <v>2025</v>
      </c>
      <c r="AL12" s="1236">
        <v>2026</v>
      </c>
      <c r="AM12" s="1236">
        <v>2027</v>
      </c>
      <c r="AN12" s="1236">
        <v>2028</v>
      </c>
      <c r="AO12" s="1236">
        <v>2029</v>
      </c>
      <c r="AP12" s="1236">
        <v>2030</v>
      </c>
      <c r="AQ12" s="1236">
        <v>2031</v>
      </c>
      <c r="AR12" s="2445"/>
      <c r="AS12" s="2445" t="s">
        <v>1348</v>
      </c>
      <c r="AT12" s="1236">
        <v>2021</v>
      </c>
      <c r="AU12" s="1236">
        <v>2022</v>
      </c>
      <c r="AV12" s="1236">
        <v>2023</v>
      </c>
      <c r="AW12" s="1236">
        <v>2024</v>
      </c>
      <c r="AX12" s="1236">
        <v>2025</v>
      </c>
      <c r="AY12" s="1236">
        <v>2026</v>
      </c>
      <c r="AZ12" s="1236">
        <v>2027</v>
      </c>
      <c r="BA12" s="1236">
        <v>2028</v>
      </c>
      <c r="BB12" s="2445"/>
      <c r="BC12" s="2445" t="s">
        <v>1348</v>
      </c>
      <c r="BD12" s="1236">
        <v>2021</v>
      </c>
      <c r="BE12" s="1236">
        <v>2022</v>
      </c>
      <c r="BF12" s="1236">
        <v>2023</v>
      </c>
      <c r="BG12" s="1236">
        <v>2024</v>
      </c>
      <c r="BH12" s="1236">
        <v>2025</v>
      </c>
      <c r="BI12" s="1236">
        <v>2026</v>
      </c>
      <c r="BJ12" s="1236">
        <v>2027</v>
      </c>
      <c r="BK12" s="1236">
        <v>2028</v>
      </c>
      <c r="BL12" s="2445"/>
      <c r="BM12" s="2445" t="s">
        <v>1348</v>
      </c>
      <c r="BN12" s="1236">
        <v>2021</v>
      </c>
      <c r="BO12" s="1236">
        <v>2022</v>
      </c>
      <c r="BP12" s="1236">
        <v>2023</v>
      </c>
      <c r="BQ12" s="1236">
        <v>2024</v>
      </c>
      <c r="BR12" s="1236">
        <v>2025</v>
      </c>
      <c r="BS12" s="1236">
        <v>2026</v>
      </c>
      <c r="BT12" s="1236">
        <v>2027</v>
      </c>
      <c r="BU12" s="1236">
        <v>2028</v>
      </c>
      <c r="BV12" s="2445"/>
      <c r="BW12" s="2445" t="s">
        <v>1348</v>
      </c>
      <c r="BX12" s="1236">
        <v>2021</v>
      </c>
      <c r="BY12" s="1236">
        <v>2022</v>
      </c>
      <c r="BZ12" s="1236">
        <v>2023</v>
      </c>
      <c r="CA12" s="1236">
        <v>2024</v>
      </c>
      <c r="CB12" s="1236">
        <v>2025</v>
      </c>
      <c r="CC12" s="1236">
        <v>2026</v>
      </c>
      <c r="CD12" s="1236">
        <v>2027</v>
      </c>
      <c r="CE12" s="1236">
        <v>2028</v>
      </c>
      <c r="CF12" s="1236">
        <v>2029</v>
      </c>
      <c r="CG12" s="2445"/>
      <c r="CH12" s="2445" t="s">
        <v>1348</v>
      </c>
      <c r="CI12" s="1236">
        <v>2021</v>
      </c>
      <c r="CJ12" s="1236">
        <v>2022</v>
      </c>
      <c r="CK12" s="1236">
        <v>2023</v>
      </c>
      <c r="CL12" s="1236">
        <v>2024</v>
      </c>
      <c r="CM12" s="1236">
        <v>2025</v>
      </c>
      <c r="CN12" s="1236">
        <v>2026</v>
      </c>
      <c r="CO12" s="1236">
        <v>2027</v>
      </c>
      <c r="CP12" s="1236">
        <v>2028</v>
      </c>
      <c r="CQ12" s="2445"/>
      <c r="CR12" s="2445" t="s">
        <v>1348</v>
      </c>
      <c r="CS12" s="1236">
        <v>2024</v>
      </c>
      <c r="CT12" s="1236">
        <v>2025</v>
      </c>
      <c r="CU12" s="1236">
        <v>2026</v>
      </c>
      <c r="CV12" s="2445"/>
      <c r="CW12" s="2445" t="s">
        <v>1348</v>
      </c>
      <c r="CX12" s="1236">
        <v>2020</v>
      </c>
      <c r="CY12" s="1236">
        <v>2021</v>
      </c>
      <c r="CZ12" s="1236">
        <v>2022</v>
      </c>
      <c r="DA12" s="1236">
        <v>2023</v>
      </c>
      <c r="DB12" s="1236">
        <v>2024</v>
      </c>
      <c r="DC12" s="1236">
        <v>2025</v>
      </c>
      <c r="DD12" s="1236">
        <v>2026</v>
      </c>
      <c r="DE12" s="2445"/>
      <c r="DF12" s="1238"/>
      <c r="DR12" s="1159">
        <v>10</v>
      </c>
    </row>
    <row customHeight="1" ht="10.5" hidden="1">
      <c r="F13" s="1230">
        <v>1</v>
      </c>
      <c r="G13" s="1230">
        <v>2</v>
      </c>
      <c r="H13" s="1230">
        <v>3</v>
      </c>
      <c r="I13" s="1230">
        <v>4</v>
      </c>
      <c r="J13" s="1230">
        <v>5</v>
      </c>
      <c r="K13" s="2445">
        <v>3</v>
      </c>
      <c r="L13" s="2445">
        <v>4</v>
      </c>
      <c r="M13" s="2445">
        <v>4</v>
      </c>
      <c r="N13" s="2445">
        <v>4</v>
      </c>
      <c r="O13" s="2445">
        <v>4</v>
      </c>
      <c r="P13" s="2445">
        <v>4</v>
      </c>
      <c r="Q13" s="2445">
        <v>4</v>
      </c>
      <c r="R13" s="2445">
        <v>4</v>
      </c>
      <c r="S13" s="2445">
        <v>5</v>
      </c>
      <c r="T13" s="2445">
        <v>3</v>
      </c>
      <c r="U13" s="2445">
        <v>4</v>
      </c>
      <c r="V13" s="2445">
        <v>4</v>
      </c>
      <c r="W13" s="2445">
        <v>4</v>
      </c>
      <c r="X13" s="2445">
        <v>4</v>
      </c>
      <c r="Y13" s="2445">
        <v>4</v>
      </c>
      <c r="Z13" s="2445">
        <v>4</v>
      </c>
      <c r="AA13" s="2445">
        <v>4</v>
      </c>
      <c r="AB13" s="2445">
        <v>4</v>
      </c>
      <c r="AC13" s="2445">
        <v>4</v>
      </c>
      <c r="AD13" s="2445">
        <v>4</v>
      </c>
      <c r="AE13" s="2445">
        <v>5</v>
      </c>
      <c r="AF13" s="2445">
        <v>3</v>
      </c>
      <c r="AG13" s="2445">
        <v>4</v>
      </c>
      <c r="AH13" s="2445">
        <v>4</v>
      </c>
      <c r="AI13" s="2445">
        <v>4</v>
      </c>
      <c r="AJ13" s="2445">
        <v>4</v>
      </c>
      <c r="AK13" s="2445">
        <v>4</v>
      </c>
      <c r="AL13" s="2445">
        <v>4</v>
      </c>
      <c r="AM13" s="2445">
        <v>4</v>
      </c>
      <c r="AN13" s="2445">
        <v>4</v>
      </c>
      <c r="AO13" s="2445">
        <v>4</v>
      </c>
      <c r="AP13" s="2445">
        <v>4</v>
      </c>
      <c r="AQ13" s="2445">
        <v>4</v>
      </c>
      <c r="AR13" s="2445">
        <v>5</v>
      </c>
      <c r="AS13" s="2445">
        <v>3</v>
      </c>
      <c r="AT13" s="2445">
        <v>4</v>
      </c>
      <c r="AU13" s="2445">
        <v>4</v>
      </c>
      <c r="AV13" s="2445">
        <v>4</v>
      </c>
      <c r="AW13" s="2445">
        <v>4</v>
      </c>
      <c r="AX13" s="2445">
        <v>4</v>
      </c>
      <c r="AY13" s="2445">
        <v>4</v>
      </c>
      <c r="AZ13" s="2445">
        <v>4</v>
      </c>
      <c r="BA13" s="2445">
        <v>4</v>
      </c>
      <c r="BB13" s="2445">
        <v>5</v>
      </c>
      <c r="BC13" s="2445">
        <v>3</v>
      </c>
      <c r="BD13" s="2445">
        <v>4</v>
      </c>
      <c r="BE13" s="2445">
        <v>4</v>
      </c>
      <c r="BF13" s="2445">
        <v>4</v>
      </c>
      <c r="BG13" s="2445">
        <v>4</v>
      </c>
      <c r="BH13" s="2445">
        <v>4</v>
      </c>
      <c r="BI13" s="2445">
        <v>4</v>
      </c>
      <c r="BJ13" s="2445">
        <v>4</v>
      </c>
      <c r="BK13" s="2445">
        <v>4</v>
      </c>
      <c r="BL13" s="2445">
        <v>5</v>
      </c>
      <c r="BM13" s="2445">
        <v>3</v>
      </c>
      <c r="BN13" s="2445">
        <v>4</v>
      </c>
      <c r="BO13" s="2445">
        <v>4</v>
      </c>
      <c r="BP13" s="2445">
        <v>4</v>
      </c>
      <c r="BQ13" s="2445">
        <v>4</v>
      </c>
      <c r="BR13" s="2445">
        <v>4</v>
      </c>
      <c r="BS13" s="2445">
        <v>4</v>
      </c>
      <c r="BT13" s="2445">
        <v>4</v>
      </c>
      <c r="BU13" s="2445">
        <v>4</v>
      </c>
      <c r="BV13" s="2445">
        <v>5</v>
      </c>
      <c r="BW13" s="2445">
        <v>3</v>
      </c>
      <c r="BX13" s="2445">
        <v>4</v>
      </c>
      <c r="BY13" s="2445">
        <v>4</v>
      </c>
      <c r="BZ13" s="2445">
        <v>4</v>
      </c>
      <c r="CA13" s="2445">
        <v>4</v>
      </c>
      <c r="CB13" s="2445">
        <v>4</v>
      </c>
      <c r="CC13" s="2445">
        <v>4</v>
      </c>
      <c r="CD13" s="2445">
        <v>4</v>
      </c>
      <c r="CE13" s="2445">
        <v>4</v>
      </c>
      <c r="CF13" s="2445">
        <v>4</v>
      </c>
      <c r="CG13" s="2445">
        <v>5</v>
      </c>
      <c r="CH13" s="2445">
        <v>3</v>
      </c>
      <c r="CI13" s="2445">
        <v>4</v>
      </c>
      <c r="CJ13" s="2445">
        <v>4</v>
      </c>
      <c r="CK13" s="2445">
        <v>4</v>
      </c>
      <c r="CL13" s="2445">
        <v>4</v>
      </c>
      <c r="CM13" s="2445">
        <v>4</v>
      </c>
      <c r="CN13" s="2445">
        <v>4</v>
      </c>
      <c r="CO13" s="2445">
        <v>4</v>
      </c>
      <c r="CP13" s="2445">
        <v>4</v>
      </c>
      <c r="CQ13" s="2445">
        <v>5</v>
      </c>
      <c r="CR13" s="2445">
        <v>3</v>
      </c>
      <c r="CS13" s="2445">
        <v>4</v>
      </c>
      <c r="CT13" s="2445">
        <v>4</v>
      </c>
      <c r="CU13" s="2445">
        <v>4</v>
      </c>
      <c r="CV13" s="2445">
        <v>5</v>
      </c>
      <c r="CW13" s="2445">
        <v>3</v>
      </c>
      <c r="CX13" s="2445">
        <v>4</v>
      </c>
      <c r="CY13" s="2445">
        <v>4</v>
      </c>
      <c r="CZ13" s="2445">
        <v>4</v>
      </c>
      <c r="DA13" s="2445">
        <v>4</v>
      </c>
      <c r="DB13" s="2445">
        <v>4</v>
      </c>
      <c r="DC13" s="2445">
        <v>4</v>
      </c>
      <c r="DD13" s="2445">
        <v>4</v>
      </c>
      <c r="DE13" s="2445">
        <v>5</v>
      </c>
      <c r="DF13" s="1238"/>
      <c r="DR13" s="1159">
        <v>0</v>
      </c>
    </row>
    <row customHeight="1" ht="11.549999999999999">
      <c r="F14" s="1229" t="s">
        <v>1349</v>
      </c>
      <c r="G14" s="2438" t="s">
        <v>1350</v>
      </c>
      <c r="H14" s="2438"/>
      <c r="I14" s="2438"/>
      <c r="J14" s="2438"/>
      <c r="K14" s="2438"/>
      <c r="L14" s="2438"/>
      <c r="M14" s="2438"/>
      <c r="N14" s="2438"/>
      <c r="O14" s="2438"/>
      <c r="P14" s="2438"/>
      <c r="Q14" s="2438"/>
      <c r="R14" s="2438"/>
      <c r="S14" s="2438"/>
      <c r="T14" s="2438"/>
      <c r="U14" s="2438"/>
      <c r="V14" s="2438"/>
      <c r="W14" s="2438"/>
      <c r="X14" s="2438"/>
      <c r="Y14" s="2438"/>
      <c r="Z14" s="2438"/>
      <c r="AA14" s="2438"/>
      <c r="AB14" s="2438"/>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38"/>
      <c r="BT14" s="2438"/>
      <c r="BU14" s="2438"/>
      <c r="BV14" s="2438"/>
      <c r="BW14" s="2438"/>
      <c r="BX14" s="2438"/>
      <c r="BY14" s="2438"/>
      <c r="BZ14" s="2438"/>
      <c r="CA14" s="2438"/>
      <c r="CB14" s="2438"/>
      <c r="CC14" s="2438"/>
      <c r="CD14" s="2438"/>
      <c r="CE14" s="2438"/>
      <c r="CF14" s="2438"/>
      <c r="CG14" s="2438"/>
      <c r="CH14" s="2438"/>
      <c r="CI14" s="2438"/>
      <c r="CJ14" s="2438"/>
      <c r="CK14" s="2438"/>
      <c r="CL14" s="2438"/>
      <c r="CM14" s="2438"/>
      <c r="CN14" s="2438"/>
      <c r="CO14" s="2438"/>
      <c r="CP14" s="2438"/>
      <c r="CQ14" s="2438"/>
      <c r="CR14" s="2438"/>
      <c r="CS14" s="2438"/>
      <c r="CT14" s="2438"/>
      <c r="CU14" s="2438"/>
      <c r="CV14" s="2438"/>
      <c r="CW14" s="2438"/>
      <c r="CX14" s="2438"/>
      <c r="CY14" s="2438"/>
      <c r="CZ14" s="2438"/>
      <c r="DA14" s="2438"/>
      <c r="DB14" s="2438"/>
      <c r="DC14" s="2438"/>
      <c r="DD14" s="2438"/>
      <c r="DE14" s="2438"/>
      <c r="DF14" s="1238"/>
      <c r="DR14" s="1159">
        <v>11</v>
      </c>
    </row>
    <row customHeight="1" ht="11.549999999999999">
      <c r="F15" s="1234">
        <v>1</v>
      </c>
      <c r="G15" s="694" t="s">
        <v>1351</v>
      </c>
      <c r="H15" s="1240">
        <f>SUM(I15:J15)</f>
        <v>0</v>
      </c>
      <c r="I15" s="1240">
        <f>SUM(I16:I27)</f>
        <v>0</v>
      </c>
      <c r="J15" s="1229"/>
      <c r="K15" s="1240">
        <f>SUM(L15:S15)</f>
        <v>0</v>
      </c>
      <c r="L15" s="1240">
        <f>SUM(L16:L27)</f>
        <v>0</v>
      </c>
      <c r="M15" s="1240">
        <f>SUM(M16:M27)</f>
        <v>0</v>
      </c>
      <c r="N15" s="1240">
        <f>SUM(N16:N27)</f>
        <v>0</v>
      </c>
      <c r="O15" s="1240">
        <f>SUM(O16:O27)</f>
        <v>0</v>
      </c>
      <c r="P15" s="1240">
        <f>SUM(P16:P27)</f>
        <v>0</v>
      </c>
      <c r="Q15" s="1240">
        <f>SUM(Q16:Q27)</f>
        <v>0</v>
      </c>
      <c r="R15" s="1240">
        <f>SUM(R16:R27)</f>
        <v>0</v>
      </c>
      <c r="S15" s="2443"/>
      <c r="T15" s="1240">
        <f>SUM(U15:AE15)</f>
        <v>0</v>
      </c>
      <c r="U15" s="1240">
        <f>SUM(U16:U27)</f>
        <v>0</v>
      </c>
      <c r="V15" s="1240">
        <f>SUM(V16:V27)</f>
        <v>0</v>
      </c>
      <c r="W15" s="1240">
        <f>SUM(W16:W27)</f>
        <v>0</v>
      </c>
      <c r="X15" s="1240">
        <f>SUM(X16:X27)</f>
        <v>0</v>
      </c>
      <c r="Y15" s="1240">
        <f>SUM(Y16:Y27)</f>
        <v>0</v>
      </c>
      <c r="Z15" s="1240">
        <f>SUM(Z16:Z27)</f>
        <v>0</v>
      </c>
      <c r="AA15" s="1240">
        <f>SUM(AA16:AA27)</f>
        <v>0</v>
      </c>
      <c r="AB15" s="1240">
        <f>SUM(AB16:AB27)</f>
        <v>0</v>
      </c>
      <c r="AC15" s="1240">
        <f>SUM(AC16:AC27)</f>
        <v>0</v>
      </c>
      <c r="AD15" s="1240">
        <f>SUM(AD16:AD27)</f>
        <v>0</v>
      </c>
      <c r="AE15" s="2443"/>
      <c r="AF15" s="1240">
        <f>SUM(AG15:AR15)</f>
        <v>0</v>
      </c>
      <c r="AG15" s="1240">
        <f>SUM(AG16:AG27)</f>
        <v>0</v>
      </c>
      <c r="AH15" s="1240">
        <f>SUM(AH16:AH27)</f>
        <v>0</v>
      </c>
      <c r="AI15" s="1240">
        <f>SUM(AI16:AI27)</f>
        <v>0</v>
      </c>
      <c r="AJ15" s="1240">
        <f>SUM(AJ16:AJ27)</f>
        <v>0</v>
      </c>
      <c r="AK15" s="1240">
        <f>SUM(AK16:AK27)</f>
        <v>0</v>
      </c>
      <c r="AL15" s="1240">
        <f>SUM(AL16:AL27)</f>
        <v>0</v>
      </c>
      <c r="AM15" s="1240">
        <f>SUM(AM16:AM27)</f>
        <v>0</v>
      </c>
      <c r="AN15" s="1240">
        <f>SUM(AN16:AN27)</f>
        <v>0</v>
      </c>
      <c r="AO15" s="1240">
        <f>SUM(AO16:AO27)</f>
        <v>0</v>
      </c>
      <c r="AP15" s="1240">
        <f>SUM(AP16:AP27)</f>
        <v>0</v>
      </c>
      <c r="AQ15" s="1240">
        <f>SUM(AQ16:AQ27)</f>
        <v>0</v>
      </c>
      <c r="AR15" s="2443"/>
      <c r="AS15" s="1240">
        <f>SUM(AT15:BB15)</f>
        <v>0</v>
      </c>
      <c r="AT15" s="1240">
        <f>SUM(AT16:AT27)</f>
        <v>0</v>
      </c>
      <c r="AU15" s="1240">
        <f>SUM(AU16:AU27)</f>
        <v>0</v>
      </c>
      <c r="AV15" s="1240">
        <f>SUM(AV16:AV27)</f>
        <v>0</v>
      </c>
      <c r="AW15" s="1240">
        <f>SUM(AW16:AW27)</f>
        <v>0</v>
      </c>
      <c r="AX15" s="1240">
        <f>SUM(AX16:AX27)</f>
        <v>0</v>
      </c>
      <c r="AY15" s="1240">
        <f>SUM(AY16:AY27)</f>
        <v>0</v>
      </c>
      <c r="AZ15" s="1240">
        <f>SUM(AZ16:AZ27)</f>
        <v>0</v>
      </c>
      <c r="BA15" s="1240">
        <f>SUM(BA16:BA27)</f>
        <v>0</v>
      </c>
      <c r="BB15" s="2443"/>
      <c r="BC15" s="1240">
        <f>SUM(BD15:BL15)</f>
        <v>0</v>
      </c>
      <c r="BD15" s="1240">
        <f>SUM(BD16:BD27)</f>
        <v>0</v>
      </c>
      <c r="BE15" s="1240">
        <f>SUM(BE16:BE27)</f>
        <v>0</v>
      </c>
      <c r="BF15" s="1240">
        <f>SUM(BF16:BF27)</f>
        <v>0</v>
      </c>
      <c r="BG15" s="1240">
        <f>SUM(BG16:BG27)</f>
        <v>0</v>
      </c>
      <c r="BH15" s="1240">
        <f>SUM(BH16:BH27)</f>
        <v>0</v>
      </c>
      <c r="BI15" s="1240">
        <f>SUM(BI16:BI27)</f>
        <v>0</v>
      </c>
      <c r="BJ15" s="1240">
        <f>SUM(BJ16:BJ27)</f>
        <v>0</v>
      </c>
      <c r="BK15" s="1240">
        <f>SUM(BK16:BK27)</f>
        <v>0</v>
      </c>
      <c r="BL15" s="2443"/>
      <c r="BM15" s="1240">
        <f>SUM(BN15:BV15)</f>
        <v>0</v>
      </c>
      <c r="BN15" s="1240">
        <f>SUM(BN16:BN27)</f>
        <v>0</v>
      </c>
      <c r="BO15" s="1240">
        <f>SUM(BO16:BO27)</f>
        <v>0</v>
      </c>
      <c r="BP15" s="1240">
        <f>SUM(BP16:BP27)</f>
        <v>0</v>
      </c>
      <c r="BQ15" s="1240">
        <f>SUM(BQ16:BQ27)</f>
        <v>0</v>
      </c>
      <c r="BR15" s="1240">
        <f>SUM(BR16:BR27)</f>
        <v>0</v>
      </c>
      <c r="BS15" s="1240">
        <f>SUM(BS16:BS27)</f>
        <v>0</v>
      </c>
      <c r="BT15" s="1240">
        <f>SUM(BT16:BT27)</f>
        <v>0</v>
      </c>
      <c r="BU15" s="1240">
        <f>SUM(BU16:BU27)</f>
        <v>0</v>
      </c>
      <c r="BV15" s="2443"/>
      <c r="BW15" s="1240">
        <f>SUM(BX15:CG15)</f>
        <v>0</v>
      </c>
      <c r="BX15" s="1240">
        <f>SUM(BX16:BX27)</f>
        <v>0</v>
      </c>
      <c r="BY15" s="1240">
        <f>SUM(BY16:BY27)</f>
        <v>0</v>
      </c>
      <c r="BZ15" s="1240">
        <f>SUM(BZ16:BZ27)</f>
        <v>0</v>
      </c>
      <c r="CA15" s="1240">
        <f>SUM(CA16:CA27)</f>
        <v>0</v>
      </c>
      <c r="CB15" s="1240">
        <f>SUM(CB16:CB27)</f>
        <v>0</v>
      </c>
      <c r="CC15" s="1240">
        <f>SUM(CC16:CC27)</f>
        <v>0</v>
      </c>
      <c r="CD15" s="1240">
        <f>SUM(CD16:CD27)</f>
        <v>0</v>
      </c>
      <c r="CE15" s="1240">
        <f>SUM(CE16:CE27)</f>
        <v>0</v>
      </c>
      <c r="CF15" s="1240">
        <f>SUM(CF16:CF27)</f>
        <v>0</v>
      </c>
      <c r="CG15" s="2443"/>
      <c r="CH15" s="1240">
        <f>SUM(CI15:CQ15)</f>
        <v>0</v>
      </c>
      <c r="CI15" s="1240">
        <f>SUM(CI16:CI27)</f>
        <v>0</v>
      </c>
      <c r="CJ15" s="1240">
        <f>SUM(CJ16:CJ27)</f>
        <v>0</v>
      </c>
      <c r="CK15" s="1240">
        <f>SUM(CK16:CK27)</f>
        <v>0</v>
      </c>
      <c r="CL15" s="1240">
        <f>SUM(CL16:CL27)</f>
        <v>0</v>
      </c>
      <c r="CM15" s="1240">
        <f>SUM(CM16:CM27)</f>
        <v>0</v>
      </c>
      <c r="CN15" s="1240">
        <f>SUM(CN16:CN27)</f>
        <v>0</v>
      </c>
      <c r="CO15" s="1240">
        <f>SUM(CO16:CO27)</f>
        <v>0</v>
      </c>
      <c r="CP15" s="1240">
        <f>SUM(CP16:CP27)</f>
        <v>0</v>
      </c>
      <c r="CQ15" s="2443"/>
      <c r="CR15" s="1240">
        <f>SUM(CS15:CV15)</f>
        <v>0</v>
      </c>
      <c r="CS15" s="1240">
        <f>SUM(CS16:CS27)</f>
        <v>0</v>
      </c>
      <c r="CT15" s="1240">
        <f>SUM(CT16:CT27)</f>
        <v>0</v>
      </c>
      <c r="CU15" s="1240">
        <f>SUM(CU16:CU27)</f>
        <v>0</v>
      </c>
      <c r="CV15" s="2443"/>
      <c r="CW15" s="1240">
        <f>SUM(CX15:DE15)</f>
        <v>0</v>
      </c>
      <c r="CX15" s="1240">
        <f>SUM(CX16:CX27)</f>
        <v>0</v>
      </c>
      <c r="CY15" s="1240">
        <f>SUM(CY16:CY27)</f>
        <v>0</v>
      </c>
      <c r="CZ15" s="1240">
        <f>SUM(CZ16:CZ27)</f>
        <v>0</v>
      </c>
      <c r="DA15" s="1240">
        <f>SUM(DA16:DA27)</f>
        <v>0</v>
      </c>
      <c r="DB15" s="1240">
        <f>SUM(DB16:DB27)</f>
        <v>0</v>
      </c>
      <c r="DC15" s="1240">
        <f>SUM(DC16:DC27)</f>
        <v>0</v>
      </c>
      <c r="DD15" s="1240">
        <f>SUM(DD16:DD27)</f>
        <v>0</v>
      </c>
      <c r="DE15" s="2443"/>
      <c r="DF15" s="1238"/>
      <c r="DR15" s="1159">
        <v>11</v>
      </c>
    </row>
    <row customHeight="1" ht="24">
      <c r="F16" s="1234" t="s">
        <v>1352</v>
      </c>
      <c r="G16" s="1241" t="s">
        <v>1353</v>
      </c>
      <c r="H16" s="1240">
        <f>SUM(I16:J16)</f>
        <v>0</v>
      </c>
      <c r="I16" s="1239"/>
      <c r="J16" s="1229"/>
      <c r="K16" s="1240">
        <f>SUM(L16:S16)</f>
        <v>0</v>
      </c>
      <c r="L16" s="1239"/>
      <c r="M16" s="1239"/>
      <c r="N16" s="1239"/>
      <c r="O16" s="1239"/>
      <c r="P16" s="1239"/>
      <c r="Q16" s="1239"/>
      <c r="R16" s="1239"/>
      <c r="S16" s="2443"/>
      <c r="T16" s="1240">
        <f>SUM(U16:AE16)</f>
        <v>0</v>
      </c>
      <c r="U16" s="1239"/>
      <c r="V16" s="1239"/>
      <c r="W16" s="1239"/>
      <c r="X16" s="1239"/>
      <c r="Y16" s="1239"/>
      <c r="Z16" s="1239"/>
      <c r="AA16" s="1239"/>
      <c r="AB16" s="1239"/>
      <c r="AC16" s="1239"/>
      <c r="AD16" s="1239"/>
      <c r="AE16" s="2443"/>
      <c r="AF16" s="1240">
        <f>SUM(AG16:AR16)</f>
        <v>0</v>
      </c>
      <c r="AG16" s="1239"/>
      <c r="AH16" s="1239"/>
      <c r="AI16" s="1239"/>
      <c r="AJ16" s="1239"/>
      <c r="AK16" s="1239"/>
      <c r="AL16" s="1239"/>
      <c r="AM16" s="1239"/>
      <c r="AN16" s="1239"/>
      <c r="AO16" s="1239"/>
      <c r="AP16" s="1239"/>
      <c r="AQ16" s="1239"/>
      <c r="AR16" s="2443"/>
      <c r="AS16" s="1240">
        <f>SUM(AT16:BB16)</f>
        <v>0</v>
      </c>
      <c r="AT16" s="1239"/>
      <c r="AU16" s="1239"/>
      <c r="AV16" s="1239"/>
      <c r="AW16" s="1239"/>
      <c r="AX16" s="1239"/>
      <c r="AY16" s="1239"/>
      <c r="AZ16" s="1239"/>
      <c r="BA16" s="1239"/>
      <c r="BB16" s="2443"/>
      <c r="BC16" s="1240">
        <f>SUM(BD16:BL16)</f>
        <v>0</v>
      </c>
      <c r="BD16" s="1239"/>
      <c r="BE16" s="1239"/>
      <c r="BF16" s="1239"/>
      <c r="BG16" s="1239"/>
      <c r="BH16" s="1239"/>
      <c r="BI16" s="1239"/>
      <c r="BJ16" s="1239"/>
      <c r="BK16" s="1239"/>
      <c r="BL16" s="2443"/>
      <c r="BM16" s="1240">
        <f>SUM(BN16:BV16)</f>
        <v>0</v>
      </c>
      <c r="BN16" s="1239"/>
      <c r="BO16" s="1239"/>
      <c r="BP16" s="1239"/>
      <c r="BQ16" s="1239"/>
      <c r="BR16" s="1239"/>
      <c r="BS16" s="1239"/>
      <c r="BT16" s="1239"/>
      <c r="BU16" s="1239"/>
      <c r="BV16" s="2443"/>
      <c r="BW16" s="1240">
        <f>SUM(BX16:CG16)</f>
        <v>0</v>
      </c>
      <c r="BX16" s="1239"/>
      <c r="BY16" s="1239"/>
      <c r="BZ16" s="1239"/>
      <c r="CA16" s="1239"/>
      <c r="CB16" s="1239"/>
      <c r="CC16" s="1239"/>
      <c r="CD16" s="1239"/>
      <c r="CE16" s="1239"/>
      <c r="CF16" s="1239"/>
      <c r="CG16" s="2443"/>
      <c r="CH16" s="1240">
        <f>SUM(CI16:CQ16)</f>
        <v>0</v>
      </c>
      <c r="CI16" s="1239"/>
      <c r="CJ16" s="1239"/>
      <c r="CK16" s="1239"/>
      <c r="CL16" s="1239"/>
      <c r="CM16" s="1239"/>
      <c r="CN16" s="1239"/>
      <c r="CO16" s="1239"/>
      <c r="CP16" s="1239"/>
      <c r="CQ16" s="2443"/>
      <c r="CR16" s="1240">
        <f>SUM(CS16:CV16)</f>
        <v>0</v>
      </c>
      <c r="CS16" s="1239"/>
      <c r="CT16" s="1239"/>
      <c r="CU16" s="1239"/>
      <c r="CV16" s="2443"/>
      <c r="CW16" s="1240">
        <f>SUM(CX16:DE16)</f>
        <v>0</v>
      </c>
      <c r="CX16" s="1239"/>
      <c r="CY16" s="1239"/>
      <c r="CZ16" s="1239"/>
      <c r="DA16" s="1239"/>
      <c r="DB16" s="1239"/>
      <c r="DC16" s="1239"/>
      <c r="DD16" s="1239"/>
      <c r="DE16" s="2443"/>
      <c r="DF16" s="1238"/>
      <c r="DR16" s="1159">
        <v>23</v>
      </c>
    </row>
    <row customHeight="1" ht="24">
      <c r="F17" s="1234" t="s">
        <v>1354</v>
      </c>
      <c r="G17" s="1241" t="s">
        <v>1355</v>
      </c>
      <c r="H17" s="1240">
        <f>SUM(I17:J17)</f>
        <v>0</v>
      </c>
      <c r="I17" s="1239"/>
      <c r="J17" s="1229"/>
      <c r="K17" s="1240">
        <f>SUM(L17:S17)</f>
        <v>0</v>
      </c>
      <c r="L17" s="1239"/>
      <c r="M17" s="1239"/>
      <c r="N17" s="1239"/>
      <c r="O17" s="1239"/>
      <c r="P17" s="1239"/>
      <c r="Q17" s="1239"/>
      <c r="R17" s="1239"/>
      <c r="S17" s="2443"/>
      <c r="T17" s="1240">
        <f>SUM(U17:AE17)</f>
        <v>0</v>
      </c>
      <c r="U17" s="1239"/>
      <c r="V17" s="1239"/>
      <c r="W17" s="1239"/>
      <c r="X17" s="1239"/>
      <c r="Y17" s="1239"/>
      <c r="Z17" s="1239"/>
      <c r="AA17" s="1239"/>
      <c r="AB17" s="1239"/>
      <c r="AC17" s="1239"/>
      <c r="AD17" s="1239"/>
      <c r="AE17" s="2443"/>
      <c r="AF17" s="1240">
        <f>SUM(AG17:AR17)</f>
        <v>0</v>
      </c>
      <c r="AG17" s="1239"/>
      <c r="AH17" s="1239"/>
      <c r="AI17" s="1239"/>
      <c r="AJ17" s="1239"/>
      <c r="AK17" s="1239"/>
      <c r="AL17" s="1239"/>
      <c r="AM17" s="1239"/>
      <c r="AN17" s="1239"/>
      <c r="AO17" s="1239"/>
      <c r="AP17" s="1239"/>
      <c r="AQ17" s="1239"/>
      <c r="AR17" s="2443"/>
      <c r="AS17" s="1240">
        <f>SUM(AT17:BB17)</f>
        <v>0</v>
      </c>
      <c r="AT17" s="1239"/>
      <c r="AU17" s="1239"/>
      <c r="AV17" s="1239"/>
      <c r="AW17" s="1239"/>
      <c r="AX17" s="1239"/>
      <c r="AY17" s="1239"/>
      <c r="AZ17" s="1239"/>
      <c r="BA17" s="1239"/>
      <c r="BB17" s="2443"/>
      <c r="BC17" s="1240">
        <f>SUM(BD17:BL17)</f>
        <v>0</v>
      </c>
      <c r="BD17" s="1239"/>
      <c r="BE17" s="1239"/>
      <c r="BF17" s="1239"/>
      <c r="BG17" s="1239"/>
      <c r="BH17" s="1239"/>
      <c r="BI17" s="1239"/>
      <c r="BJ17" s="1239"/>
      <c r="BK17" s="1239"/>
      <c r="BL17" s="2443"/>
      <c r="BM17" s="1240">
        <f>SUM(BN17:BV17)</f>
        <v>0</v>
      </c>
      <c r="BN17" s="1239"/>
      <c r="BO17" s="1239"/>
      <c r="BP17" s="1239"/>
      <c r="BQ17" s="1239"/>
      <c r="BR17" s="1239"/>
      <c r="BS17" s="1239"/>
      <c r="BT17" s="1239"/>
      <c r="BU17" s="1239"/>
      <c r="BV17" s="2443"/>
      <c r="BW17" s="1240">
        <f>SUM(BX17:CG17)</f>
        <v>0</v>
      </c>
      <c r="BX17" s="1239"/>
      <c r="BY17" s="1239"/>
      <c r="BZ17" s="1239"/>
      <c r="CA17" s="1239"/>
      <c r="CB17" s="1239"/>
      <c r="CC17" s="1239"/>
      <c r="CD17" s="1239"/>
      <c r="CE17" s="1239"/>
      <c r="CF17" s="1239"/>
      <c r="CG17" s="2443"/>
      <c r="CH17" s="1240">
        <f>SUM(CI17:CQ17)</f>
        <v>0</v>
      </c>
      <c r="CI17" s="1239"/>
      <c r="CJ17" s="1239"/>
      <c r="CK17" s="1239"/>
      <c r="CL17" s="1239"/>
      <c r="CM17" s="1239"/>
      <c r="CN17" s="1239"/>
      <c r="CO17" s="1239"/>
      <c r="CP17" s="1239"/>
      <c r="CQ17" s="2443"/>
      <c r="CR17" s="1240">
        <f>SUM(CS17:CV17)</f>
        <v>0</v>
      </c>
      <c r="CS17" s="1239"/>
      <c r="CT17" s="1239"/>
      <c r="CU17" s="1239"/>
      <c r="CV17" s="2443"/>
      <c r="CW17" s="1240">
        <f>SUM(CX17:DE17)</f>
        <v>0</v>
      </c>
      <c r="CX17" s="1239"/>
      <c r="CY17" s="1239"/>
      <c r="CZ17" s="1239"/>
      <c r="DA17" s="1239"/>
      <c r="DB17" s="1239"/>
      <c r="DC17" s="1239"/>
      <c r="DD17" s="1239"/>
      <c r="DE17" s="2443"/>
      <c r="DF17" s="1238"/>
      <c r="DR17" s="1159">
        <v>23</v>
      </c>
    </row>
    <row customHeight="1" ht="35.699999999999996">
      <c r="F18" s="1234" t="s">
        <v>1356</v>
      </c>
      <c r="G18" s="1241" t="s">
        <v>1357</v>
      </c>
      <c r="H18" s="1240">
        <f>SUM(I18:J18)</f>
        <v>0</v>
      </c>
      <c r="I18" s="1239"/>
      <c r="J18" s="1229"/>
      <c r="K18" s="1240">
        <f>SUM(L18:S18)</f>
        <v>0</v>
      </c>
      <c r="L18" s="1239"/>
      <c r="M18" s="1239"/>
      <c r="N18" s="1239"/>
      <c r="O18" s="1239"/>
      <c r="P18" s="1239"/>
      <c r="Q18" s="1239"/>
      <c r="R18" s="1239"/>
      <c r="S18" s="2443"/>
      <c r="T18" s="1240">
        <f>SUM(U18:AE18)</f>
        <v>0</v>
      </c>
      <c r="U18" s="1239"/>
      <c r="V18" s="1239"/>
      <c r="W18" s="1239"/>
      <c r="X18" s="1239"/>
      <c r="Y18" s="1239"/>
      <c r="Z18" s="1239"/>
      <c r="AA18" s="1239"/>
      <c r="AB18" s="1239"/>
      <c r="AC18" s="1239"/>
      <c r="AD18" s="1239"/>
      <c r="AE18" s="2443"/>
      <c r="AF18" s="1240">
        <f>SUM(AG18:AR18)</f>
        <v>0</v>
      </c>
      <c r="AG18" s="1239"/>
      <c r="AH18" s="1239"/>
      <c r="AI18" s="1239"/>
      <c r="AJ18" s="1239"/>
      <c r="AK18" s="1239"/>
      <c r="AL18" s="1239"/>
      <c r="AM18" s="1239"/>
      <c r="AN18" s="1239"/>
      <c r="AO18" s="1239"/>
      <c r="AP18" s="1239"/>
      <c r="AQ18" s="1239"/>
      <c r="AR18" s="2443"/>
      <c r="AS18" s="1240">
        <f>SUM(AT18:BB18)</f>
        <v>0</v>
      </c>
      <c r="AT18" s="1239"/>
      <c r="AU18" s="1239"/>
      <c r="AV18" s="1239"/>
      <c r="AW18" s="1239"/>
      <c r="AX18" s="1239"/>
      <c r="AY18" s="1239"/>
      <c r="AZ18" s="1239"/>
      <c r="BA18" s="1239"/>
      <c r="BB18" s="2443"/>
      <c r="BC18" s="1240">
        <f>SUM(BD18:BL18)</f>
        <v>0</v>
      </c>
      <c r="BD18" s="1239"/>
      <c r="BE18" s="1239"/>
      <c r="BF18" s="1239"/>
      <c r="BG18" s="1239"/>
      <c r="BH18" s="1239"/>
      <c r="BI18" s="1239"/>
      <c r="BJ18" s="1239"/>
      <c r="BK18" s="1239"/>
      <c r="BL18" s="2443"/>
      <c r="BM18" s="1240">
        <f>SUM(BN18:BV18)</f>
        <v>0</v>
      </c>
      <c r="BN18" s="1239"/>
      <c r="BO18" s="1239"/>
      <c r="BP18" s="1239"/>
      <c r="BQ18" s="1239"/>
      <c r="BR18" s="1239"/>
      <c r="BS18" s="1239"/>
      <c r="BT18" s="1239"/>
      <c r="BU18" s="1239"/>
      <c r="BV18" s="2443"/>
      <c r="BW18" s="1240">
        <f>SUM(BX18:CG18)</f>
        <v>0</v>
      </c>
      <c r="BX18" s="1239"/>
      <c r="BY18" s="1239"/>
      <c r="BZ18" s="1239"/>
      <c r="CA18" s="1239"/>
      <c r="CB18" s="1239"/>
      <c r="CC18" s="1239"/>
      <c r="CD18" s="1239"/>
      <c r="CE18" s="1239"/>
      <c r="CF18" s="1239"/>
      <c r="CG18" s="2443"/>
      <c r="CH18" s="1240">
        <f>SUM(CI18:CQ18)</f>
        <v>0</v>
      </c>
      <c r="CI18" s="1239"/>
      <c r="CJ18" s="1239"/>
      <c r="CK18" s="1239"/>
      <c r="CL18" s="1239"/>
      <c r="CM18" s="1239"/>
      <c r="CN18" s="1239"/>
      <c r="CO18" s="1239"/>
      <c r="CP18" s="1239"/>
      <c r="CQ18" s="2443"/>
      <c r="CR18" s="1240">
        <f>SUM(CS18:CV18)</f>
        <v>0</v>
      </c>
      <c r="CS18" s="1239"/>
      <c r="CT18" s="1239"/>
      <c r="CU18" s="1239"/>
      <c r="CV18" s="2443"/>
      <c r="CW18" s="1240">
        <f>SUM(CX18:DE18)</f>
        <v>0</v>
      </c>
      <c r="CX18" s="1239"/>
      <c r="CY18" s="1239"/>
      <c r="CZ18" s="1239"/>
      <c r="DA18" s="1239"/>
      <c r="DB18" s="1239"/>
      <c r="DC18" s="1239"/>
      <c r="DD18" s="1239"/>
      <c r="DE18" s="2443"/>
      <c r="DF18" s="1238"/>
      <c r="DR18" s="1159">
        <v>34</v>
      </c>
    </row>
    <row customHeight="1" ht="35.699999999999996">
      <c r="F19" s="1234" t="s">
        <v>1358</v>
      </c>
      <c r="G19" s="1241" t="s">
        <v>1359</v>
      </c>
      <c r="H19" s="1240">
        <f>SUM(I19:J19)</f>
        <v>0</v>
      </c>
      <c r="I19" s="1239"/>
      <c r="J19" s="1229"/>
      <c r="K19" s="1240">
        <f>SUM(L19:S19)</f>
        <v>0</v>
      </c>
      <c r="L19" s="1239"/>
      <c r="M19" s="1239"/>
      <c r="N19" s="1239"/>
      <c r="O19" s="1239"/>
      <c r="P19" s="1239"/>
      <c r="Q19" s="1239"/>
      <c r="R19" s="1239"/>
      <c r="S19" s="2443"/>
      <c r="T19" s="1240">
        <f>SUM(U19:AE19)</f>
        <v>0</v>
      </c>
      <c r="U19" s="1239"/>
      <c r="V19" s="1239"/>
      <c r="W19" s="1239"/>
      <c r="X19" s="1239"/>
      <c r="Y19" s="1239"/>
      <c r="Z19" s="1239"/>
      <c r="AA19" s="1239"/>
      <c r="AB19" s="1239"/>
      <c r="AC19" s="1239"/>
      <c r="AD19" s="1239"/>
      <c r="AE19" s="2443"/>
      <c r="AF19" s="1240">
        <f>SUM(AG19:AR19)</f>
        <v>0</v>
      </c>
      <c r="AG19" s="1239"/>
      <c r="AH19" s="1239"/>
      <c r="AI19" s="1239"/>
      <c r="AJ19" s="1239"/>
      <c r="AK19" s="1239"/>
      <c r="AL19" s="1239"/>
      <c r="AM19" s="1239"/>
      <c r="AN19" s="1239"/>
      <c r="AO19" s="1239"/>
      <c r="AP19" s="1239"/>
      <c r="AQ19" s="1239"/>
      <c r="AR19" s="2443"/>
      <c r="AS19" s="1240">
        <f>SUM(AT19:BB19)</f>
        <v>0</v>
      </c>
      <c r="AT19" s="1239"/>
      <c r="AU19" s="1239"/>
      <c r="AV19" s="1239"/>
      <c r="AW19" s="1239"/>
      <c r="AX19" s="1239"/>
      <c r="AY19" s="1239"/>
      <c r="AZ19" s="1239"/>
      <c r="BA19" s="1239"/>
      <c r="BB19" s="2443"/>
      <c r="BC19" s="1240">
        <f>SUM(BD19:BL19)</f>
        <v>0</v>
      </c>
      <c r="BD19" s="1239"/>
      <c r="BE19" s="1239"/>
      <c r="BF19" s="1239"/>
      <c r="BG19" s="1239"/>
      <c r="BH19" s="1239"/>
      <c r="BI19" s="1239"/>
      <c r="BJ19" s="1239"/>
      <c r="BK19" s="1239"/>
      <c r="BL19" s="2443"/>
      <c r="BM19" s="1240">
        <f>SUM(BN19:BV19)</f>
        <v>0</v>
      </c>
      <c r="BN19" s="1239"/>
      <c r="BO19" s="1239"/>
      <c r="BP19" s="1239"/>
      <c r="BQ19" s="1239"/>
      <c r="BR19" s="1239"/>
      <c r="BS19" s="1239"/>
      <c r="BT19" s="1239"/>
      <c r="BU19" s="1239"/>
      <c r="BV19" s="2443"/>
      <c r="BW19" s="1240">
        <f>SUM(BX19:CG19)</f>
        <v>0</v>
      </c>
      <c r="BX19" s="1239"/>
      <c r="BY19" s="1239"/>
      <c r="BZ19" s="1239"/>
      <c r="CA19" s="1239"/>
      <c r="CB19" s="1239"/>
      <c r="CC19" s="1239"/>
      <c r="CD19" s="1239"/>
      <c r="CE19" s="1239"/>
      <c r="CF19" s="1239"/>
      <c r="CG19" s="2443"/>
      <c r="CH19" s="1240">
        <f>SUM(CI19:CQ19)</f>
        <v>0</v>
      </c>
      <c r="CI19" s="1239"/>
      <c r="CJ19" s="1239"/>
      <c r="CK19" s="1239"/>
      <c r="CL19" s="1239"/>
      <c r="CM19" s="1239"/>
      <c r="CN19" s="1239"/>
      <c r="CO19" s="1239"/>
      <c r="CP19" s="1239"/>
      <c r="CQ19" s="2443"/>
      <c r="CR19" s="1240">
        <f>SUM(CS19:CV19)</f>
        <v>0</v>
      </c>
      <c r="CS19" s="1239"/>
      <c r="CT19" s="1239"/>
      <c r="CU19" s="1239"/>
      <c r="CV19" s="2443"/>
      <c r="CW19" s="1240">
        <f>SUM(CX19:DE19)</f>
        <v>0</v>
      </c>
      <c r="CX19" s="1239"/>
      <c r="CY19" s="1239"/>
      <c r="CZ19" s="1239"/>
      <c r="DA19" s="1239"/>
      <c r="DB19" s="1239"/>
      <c r="DC19" s="1239"/>
      <c r="DD19" s="1239"/>
      <c r="DE19" s="2443"/>
      <c r="DF19" s="1238"/>
      <c r="DR19" s="1159">
        <v>34</v>
      </c>
    </row>
    <row customHeight="1" ht="48.29999999999999">
      <c r="F20" s="1234" t="s">
        <v>1360</v>
      </c>
      <c r="G20" s="1241" t="s">
        <v>1361</v>
      </c>
      <c r="H20" s="1240">
        <f>SUM(I20:J20)</f>
        <v>0</v>
      </c>
      <c r="I20" s="1239"/>
      <c r="J20" s="1229"/>
      <c r="K20" s="1240">
        <f>SUM(L20:S20)</f>
        <v>0</v>
      </c>
      <c r="L20" s="1239"/>
      <c r="M20" s="1239"/>
      <c r="N20" s="1239"/>
      <c r="O20" s="1239"/>
      <c r="P20" s="1239"/>
      <c r="Q20" s="1239"/>
      <c r="R20" s="1239"/>
      <c r="S20" s="2443"/>
      <c r="T20" s="1240">
        <f>SUM(U20:AE20)</f>
        <v>0</v>
      </c>
      <c r="U20" s="1239"/>
      <c r="V20" s="1239"/>
      <c r="W20" s="1239"/>
      <c r="X20" s="1239"/>
      <c r="Y20" s="1239"/>
      <c r="Z20" s="1239"/>
      <c r="AA20" s="1239"/>
      <c r="AB20" s="1239"/>
      <c r="AC20" s="1239"/>
      <c r="AD20" s="1239"/>
      <c r="AE20" s="2443"/>
      <c r="AF20" s="1240">
        <f>SUM(AG20:AR20)</f>
        <v>0</v>
      </c>
      <c r="AG20" s="1239"/>
      <c r="AH20" s="1239"/>
      <c r="AI20" s="1239"/>
      <c r="AJ20" s="1239"/>
      <c r="AK20" s="1239"/>
      <c r="AL20" s="1239"/>
      <c r="AM20" s="1239"/>
      <c r="AN20" s="1239"/>
      <c r="AO20" s="1239"/>
      <c r="AP20" s="1239"/>
      <c r="AQ20" s="1239"/>
      <c r="AR20" s="2443"/>
      <c r="AS20" s="1240">
        <f>SUM(AT20:BB20)</f>
        <v>0</v>
      </c>
      <c r="AT20" s="1239"/>
      <c r="AU20" s="1239"/>
      <c r="AV20" s="1239"/>
      <c r="AW20" s="1239"/>
      <c r="AX20" s="1239"/>
      <c r="AY20" s="1239"/>
      <c r="AZ20" s="1239"/>
      <c r="BA20" s="1239"/>
      <c r="BB20" s="2443"/>
      <c r="BC20" s="1240">
        <f>SUM(BD20:BL20)</f>
        <v>0</v>
      </c>
      <c r="BD20" s="1239"/>
      <c r="BE20" s="1239"/>
      <c r="BF20" s="1239"/>
      <c r="BG20" s="1239"/>
      <c r="BH20" s="1239"/>
      <c r="BI20" s="1239"/>
      <c r="BJ20" s="1239"/>
      <c r="BK20" s="1239"/>
      <c r="BL20" s="2443"/>
      <c r="BM20" s="1240">
        <f>SUM(BN20:BV20)</f>
        <v>0</v>
      </c>
      <c r="BN20" s="1239"/>
      <c r="BO20" s="1239"/>
      <c r="BP20" s="1239"/>
      <c r="BQ20" s="1239"/>
      <c r="BR20" s="1239"/>
      <c r="BS20" s="1239"/>
      <c r="BT20" s="1239"/>
      <c r="BU20" s="1239"/>
      <c r="BV20" s="2443"/>
      <c r="BW20" s="1240">
        <f>SUM(BX20:CG20)</f>
        <v>0</v>
      </c>
      <c r="BX20" s="1239"/>
      <c r="BY20" s="1239"/>
      <c r="BZ20" s="1239"/>
      <c r="CA20" s="1239"/>
      <c r="CB20" s="1239"/>
      <c r="CC20" s="1239"/>
      <c r="CD20" s="1239"/>
      <c r="CE20" s="1239"/>
      <c r="CF20" s="1239"/>
      <c r="CG20" s="2443"/>
      <c r="CH20" s="1240">
        <f>SUM(CI20:CQ20)</f>
        <v>0</v>
      </c>
      <c r="CI20" s="1239"/>
      <c r="CJ20" s="1239"/>
      <c r="CK20" s="1239"/>
      <c r="CL20" s="1239"/>
      <c r="CM20" s="1239"/>
      <c r="CN20" s="1239"/>
      <c r="CO20" s="1239"/>
      <c r="CP20" s="1239"/>
      <c r="CQ20" s="2443"/>
      <c r="CR20" s="1240">
        <f>SUM(CS20:CV20)</f>
        <v>0</v>
      </c>
      <c r="CS20" s="1239"/>
      <c r="CT20" s="1239"/>
      <c r="CU20" s="1239"/>
      <c r="CV20" s="2443"/>
      <c r="CW20" s="1240">
        <f>SUM(CX20:DE20)</f>
        <v>0</v>
      </c>
      <c r="CX20" s="1239"/>
      <c r="CY20" s="1239"/>
      <c r="CZ20" s="1239"/>
      <c r="DA20" s="1239"/>
      <c r="DB20" s="1239"/>
      <c r="DC20" s="1239"/>
      <c r="DD20" s="1239"/>
      <c r="DE20" s="2443"/>
      <c r="DF20" s="1238"/>
      <c r="DR20" s="1159">
        <v>46</v>
      </c>
    </row>
    <row customHeight="1" ht="35.699999999999996">
      <c r="F21" s="1234" t="s">
        <v>1362</v>
      </c>
      <c r="G21" s="1241" t="s">
        <v>1363</v>
      </c>
      <c r="H21" s="1240">
        <f>SUM(I21:J21)</f>
        <v>0</v>
      </c>
      <c r="I21" s="1239"/>
      <c r="J21" s="1229"/>
      <c r="K21" s="1240">
        <f>SUM(L21:S21)</f>
        <v>0</v>
      </c>
      <c r="L21" s="1239"/>
      <c r="M21" s="1239"/>
      <c r="N21" s="1239"/>
      <c r="O21" s="1239"/>
      <c r="P21" s="1239"/>
      <c r="Q21" s="1239"/>
      <c r="R21" s="1239"/>
      <c r="S21" s="2443"/>
      <c r="T21" s="1240">
        <f>SUM(U21:AE21)</f>
        <v>0</v>
      </c>
      <c r="U21" s="1239"/>
      <c r="V21" s="1239"/>
      <c r="W21" s="1239"/>
      <c r="X21" s="1239"/>
      <c r="Y21" s="1239"/>
      <c r="Z21" s="1239"/>
      <c r="AA21" s="1239"/>
      <c r="AB21" s="1239"/>
      <c r="AC21" s="1239"/>
      <c r="AD21" s="1239"/>
      <c r="AE21" s="2443"/>
      <c r="AF21" s="1240">
        <f>SUM(AG21:AR21)</f>
        <v>0</v>
      </c>
      <c r="AG21" s="1239"/>
      <c r="AH21" s="1239"/>
      <c r="AI21" s="1239"/>
      <c r="AJ21" s="1239"/>
      <c r="AK21" s="1239"/>
      <c r="AL21" s="1239"/>
      <c r="AM21" s="1239"/>
      <c r="AN21" s="1239"/>
      <c r="AO21" s="1239"/>
      <c r="AP21" s="1239"/>
      <c r="AQ21" s="1239"/>
      <c r="AR21" s="2443"/>
      <c r="AS21" s="1240">
        <f>SUM(AT21:BB21)</f>
        <v>0</v>
      </c>
      <c r="AT21" s="1239"/>
      <c r="AU21" s="1239"/>
      <c r="AV21" s="1239"/>
      <c r="AW21" s="1239"/>
      <c r="AX21" s="1239"/>
      <c r="AY21" s="1239"/>
      <c r="AZ21" s="1239"/>
      <c r="BA21" s="1239"/>
      <c r="BB21" s="2443"/>
      <c r="BC21" s="1240">
        <f>SUM(BD21:BL21)</f>
        <v>0</v>
      </c>
      <c r="BD21" s="1239"/>
      <c r="BE21" s="1239"/>
      <c r="BF21" s="1239"/>
      <c r="BG21" s="1239"/>
      <c r="BH21" s="1239"/>
      <c r="BI21" s="1239"/>
      <c r="BJ21" s="1239"/>
      <c r="BK21" s="1239"/>
      <c r="BL21" s="2443"/>
      <c r="BM21" s="1240">
        <f>SUM(BN21:BV21)</f>
        <v>0</v>
      </c>
      <c r="BN21" s="1239"/>
      <c r="BO21" s="1239"/>
      <c r="BP21" s="1239"/>
      <c r="BQ21" s="1239"/>
      <c r="BR21" s="1239"/>
      <c r="BS21" s="1239"/>
      <c r="BT21" s="1239"/>
      <c r="BU21" s="1239"/>
      <c r="BV21" s="2443"/>
      <c r="BW21" s="1240">
        <f>SUM(BX21:CG21)</f>
        <v>0</v>
      </c>
      <c r="BX21" s="1239"/>
      <c r="BY21" s="1239"/>
      <c r="BZ21" s="1239"/>
      <c r="CA21" s="1239"/>
      <c r="CB21" s="1239"/>
      <c r="CC21" s="1239"/>
      <c r="CD21" s="1239"/>
      <c r="CE21" s="1239"/>
      <c r="CF21" s="1239"/>
      <c r="CG21" s="2443"/>
      <c r="CH21" s="1240">
        <f>SUM(CI21:CQ21)</f>
        <v>0</v>
      </c>
      <c r="CI21" s="1239"/>
      <c r="CJ21" s="1239"/>
      <c r="CK21" s="1239"/>
      <c r="CL21" s="1239"/>
      <c r="CM21" s="1239"/>
      <c r="CN21" s="1239"/>
      <c r="CO21" s="1239"/>
      <c r="CP21" s="1239"/>
      <c r="CQ21" s="2443"/>
      <c r="CR21" s="1240">
        <f>SUM(CS21:CV21)</f>
        <v>0</v>
      </c>
      <c r="CS21" s="1239"/>
      <c r="CT21" s="1239"/>
      <c r="CU21" s="1239"/>
      <c r="CV21" s="2443"/>
      <c r="CW21" s="1240">
        <f>SUM(CX21:DE21)</f>
        <v>0</v>
      </c>
      <c r="CX21" s="1239"/>
      <c r="CY21" s="1239"/>
      <c r="CZ21" s="1239"/>
      <c r="DA21" s="1239"/>
      <c r="DB21" s="1239"/>
      <c r="DC21" s="1239"/>
      <c r="DD21" s="1239"/>
      <c r="DE21" s="2443"/>
      <c r="DF21" s="1238"/>
      <c r="DR21" s="1159">
        <v>34</v>
      </c>
    </row>
    <row customHeight="1" ht="35.699999999999996">
      <c r="F22" s="1234" t="s">
        <v>1364</v>
      </c>
      <c r="G22" s="1241" t="s">
        <v>1365</v>
      </c>
      <c r="H22" s="1240">
        <f>SUM(I22:J22)</f>
        <v>0</v>
      </c>
      <c r="I22" s="1239"/>
      <c r="J22" s="1229"/>
      <c r="K22" s="1240">
        <f>SUM(L22:S22)</f>
        <v>0</v>
      </c>
      <c r="L22" s="1239"/>
      <c r="M22" s="1239"/>
      <c r="N22" s="1239"/>
      <c r="O22" s="1239"/>
      <c r="P22" s="1239"/>
      <c r="Q22" s="1239"/>
      <c r="R22" s="1239"/>
      <c r="S22" s="2443"/>
      <c r="T22" s="1240">
        <f>SUM(U22:AE22)</f>
        <v>0</v>
      </c>
      <c r="U22" s="1239"/>
      <c r="V22" s="1239"/>
      <c r="W22" s="1239"/>
      <c r="X22" s="1239"/>
      <c r="Y22" s="1239"/>
      <c r="Z22" s="1239"/>
      <c r="AA22" s="1239"/>
      <c r="AB22" s="1239"/>
      <c r="AC22" s="1239"/>
      <c r="AD22" s="1239"/>
      <c r="AE22" s="2443"/>
      <c r="AF22" s="1240">
        <f>SUM(AG22:AR22)</f>
        <v>0</v>
      </c>
      <c r="AG22" s="1239"/>
      <c r="AH22" s="1239"/>
      <c r="AI22" s="1239"/>
      <c r="AJ22" s="1239"/>
      <c r="AK22" s="1239"/>
      <c r="AL22" s="1239"/>
      <c r="AM22" s="1239"/>
      <c r="AN22" s="1239"/>
      <c r="AO22" s="1239"/>
      <c r="AP22" s="1239"/>
      <c r="AQ22" s="1239"/>
      <c r="AR22" s="2443"/>
      <c r="AS22" s="1240">
        <f>SUM(AT22:BB22)</f>
        <v>0</v>
      </c>
      <c r="AT22" s="1239"/>
      <c r="AU22" s="1239"/>
      <c r="AV22" s="1239"/>
      <c r="AW22" s="1239"/>
      <c r="AX22" s="1239"/>
      <c r="AY22" s="1239"/>
      <c r="AZ22" s="1239"/>
      <c r="BA22" s="1239"/>
      <c r="BB22" s="2443"/>
      <c r="BC22" s="1240">
        <f>SUM(BD22:BL22)</f>
        <v>0</v>
      </c>
      <c r="BD22" s="1239"/>
      <c r="BE22" s="1239"/>
      <c r="BF22" s="1239"/>
      <c r="BG22" s="1239"/>
      <c r="BH22" s="1239"/>
      <c r="BI22" s="1239"/>
      <c r="BJ22" s="1239"/>
      <c r="BK22" s="1239"/>
      <c r="BL22" s="2443"/>
      <c r="BM22" s="1240">
        <f>SUM(BN22:BV22)</f>
        <v>0</v>
      </c>
      <c r="BN22" s="1239"/>
      <c r="BO22" s="1239"/>
      <c r="BP22" s="1239"/>
      <c r="BQ22" s="1239"/>
      <c r="BR22" s="1239"/>
      <c r="BS22" s="1239"/>
      <c r="BT22" s="1239"/>
      <c r="BU22" s="1239"/>
      <c r="BV22" s="2443"/>
      <c r="BW22" s="1240">
        <f>SUM(BX22:CG22)</f>
        <v>0</v>
      </c>
      <c r="BX22" s="1239"/>
      <c r="BY22" s="1239"/>
      <c r="BZ22" s="1239"/>
      <c r="CA22" s="1239"/>
      <c r="CB22" s="1239"/>
      <c r="CC22" s="1239"/>
      <c r="CD22" s="1239"/>
      <c r="CE22" s="1239"/>
      <c r="CF22" s="1239"/>
      <c r="CG22" s="2443"/>
      <c r="CH22" s="1240">
        <f>SUM(CI22:CQ22)</f>
        <v>0</v>
      </c>
      <c r="CI22" s="1239"/>
      <c r="CJ22" s="1239"/>
      <c r="CK22" s="1239"/>
      <c r="CL22" s="1239"/>
      <c r="CM22" s="1239"/>
      <c r="CN22" s="1239"/>
      <c r="CO22" s="1239"/>
      <c r="CP22" s="1239"/>
      <c r="CQ22" s="2443"/>
      <c r="CR22" s="1240">
        <f>SUM(CS22:CV22)</f>
        <v>0</v>
      </c>
      <c r="CS22" s="1239"/>
      <c r="CT22" s="1239"/>
      <c r="CU22" s="1239"/>
      <c r="CV22" s="2443"/>
      <c r="CW22" s="1240">
        <f>SUM(CX22:DE22)</f>
        <v>0</v>
      </c>
      <c r="CX22" s="1239"/>
      <c r="CY22" s="1239"/>
      <c r="CZ22" s="1239"/>
      <c r="DA22" s="1239"/>
      <c r="DB22" s="1239"/>
      <c r="DC22" s="1239"/>
      <c r="DD22" s="1239"/>
      <c r="DE22" s="2443"/>
      <c r="DF22" s="1238"/>
      <c r="DR22" s="1159">
        <v>34</v>
      </c>
    </row>
    <row customHeight="1" ht="24">
      <c r="F23" s="1234" t="s">
        <v>1366</v>
      </c>
      <c r="G23" s="1241" t="s">
        <v>1367</v>
      </c>
      <c r="H23" s="1240">
        <f>SUM(I23:J23)</f>
        <v>0</v>
      </c>
      <c r="I23" s="1239"/>
      <c r="J23" s="1229"/>
      <c r="K23" s="1240">
        <f>SUM(L23:S23)</f>
        <v>0</v>
      </c>
      <c r="L23" s="1239"/>
      <c r="M23" s="1239"/>
      <c r="N23" s="1239"/>
      <c r="O23" s="1239"/>
      <c r="P23" s="1239"/>
      <c r="Q23" s="1239"/>
      <c r="R23" s="1239"/>
      <c r="S23" s="2443"/>
      <c r="T23" s="1240">
        <f>SUM(U23:AE23)</f>
        <v>0</v>
      </c>
      <c r="U23" s="1239"/>
      <c r="V23" s="1239"/>
      <c r="W23" s="1239"/>
      <c r="X23" s="1239"/>
      <c r="Y23" s="1239"/>
      <c r="Z23" s="1239"/>
      <c r="AA23" s="1239"/>
      <c r="AB23" s="1239"/>
      <c r="AC23" s="1239"/>
      <c r="AD23" s="1239"/>
      <c r="AE23" s="2443"/>
      <c r="AF23" s="1240">
        <f>SUM(AG23:AR23)</f>
        <v>0</v>
      </c>
      <c r="AG23" s="1239"/>
      <c r="AH23" s="1239"/>
      <c r="AI23" s="1239"/>
      <c r="AJ23" s="1239"/>
      <c r="AK23" s="1239"/>
      <c r="AL23" s="1239"/>
      <c r="AM23" s="1239"/>
      <c r="AN23" s="1239"/>
      <c r="AO23" s="1239"/>
      <c r="AP23" s="1239"/>
      <c r="AQ23" s="1239"/>
      <c r="AR23" s="2443"/>
      <c r="AS23" s="1240">
        <f>SUM(AT23:BB23)</f>
        <v>0</v>
      </c>
      <c r="AT23" s="1239"/>
      <c r="AU23" s="1239"/>
      <c r="AV23" s="1239"/>
      <c r="AW23" s="1239"/>
      <c r="AX23" s="1239"/>
      <c r="AY23" s="1239"/>
      <c r="AZ23" s="1239"/>
      <c r="BA23" s="1239"/>
      <c r="BB23" s="2443"/>
      <c r="BC23" s="1240">
        <f>SUM(BD23:BL23)</f>
        <v>0</v>
      </c>
      <c r="BD23" s="1239"/>
      <c r="BE23" s="1239"/>
      <c r="BF23" s="1239"/>
      <c r="BG23" s="1239"/>
      <c r="BH23" s="1239"/>
      <c r="BI23" s="1239"/>
      <c r="BJ23" s="1239"/>
      <c r="BK23" s="1239"/>
      <c r="BL23" s="2443"/>
      <c r="BM23" s="1240">
        <f>SUM(BN23:BV23)</f>
        <v>0</v>
      </c>
      <c r="BN23" s="1239"/>
      <c r="BO23" s="1239"/>
      <c r="BP23" s="1239"/>
      <c r="BQ23" s="1239"/>
      <c r="BR23" s="1239"/>
      <c r="BS23" s="1239"/>
      <c r="BT23" s="1239"/>
      <c r="BU23" s="1239"/>
      <c r="BV23" s="2443"/>
      <c r="BW23" s="1240">
        <f>SUM(BX23:CG23)</f>
        <v>0</v>
      </c>
      <c r="BX23" s="1239"/>
      <c r="BY23" s="1239"/>
      <c r="BZ23" s="1239"/>
      <c r="CA23" s="1239"/>
      <c r="CB23" s="1239"/>
      <c r="CC23" s="1239"/>
      <c r="CD23" s="1239"/>
      <c r="CE23" s="1239"/>
      <c r="CF23" s="1239"/>
      <c r="CG23" s="2443"/>
      <c r="CH23" s="1240">
        <f>SUM(CI23:CQ23)</f>
        <v>0</v>
      </c>
      <c r="CI23" s="1239"/>
      <c r="CJ23" s="1239"/>
      <c r="CK23" s="1239"/>
      <c r="CL23" s="1239"/>
      <c r="CM23" s="1239"/>
      <c r="CN23" s="1239"/>
      <c r="CO23" s="1239"/>
      <c r="CP23" s="1239"/>
      <c r="CQ23" s="2443"/>
      <c r="CR23" s="1240">
        <f>SUM(CS23:CV23)</f>
        <v>0</v>
      </c>
      <c r="CS23" s="1239"/>
      <c r="CT23" s="1239"/>
      <c r="CU23" s="1239"/>
      <c r="CV23" s="2443"/>
      <c r="CW23" s="1240">
        <f>SUM(CX23:DE23)</f>
        <v>0</v>
      </c>
      <c r="CX23" s="1239"/>
      <c r="CY23" s="1239"/>
      <c r="CZ23" s="1239"/>
      <c r="DA23" s="1239"/>
      <c r="DB23" s="1239"/>
      <c r="DC23" s="1239"/>
      <c r="DD23" s="1239"/>
      <c r="DE23" s="2443"/>
      <c r="DF23" s="1238"/>
      <c r="DR23" s="1159">
        <v>23</v>
      </c>
    </row>
    <row customHeight="1" ht="24">
      <c r="F24" s="1234" t="s">
        <v>1368</v>
      </c>
      <c r="G24" s="1241" t="s">
        <v>1369</v>
      </c>
      <c r="H24" s="1240">
        <f>SUM(I24:J24)</f>
        <v>0</v>
      </c>
      <c r="I24" s="1239"/>
      <c r="J24" s="1229"/>
      <c r="K24" s="1240">
        <f>SUM(L24:S24)</f>
        <v>0</v>
      </c>
      <c r="L24" s="1239"/>
      <c r="M24" s="1239"/>
      <c r="N24" s="1239"/>
      <c r="O24" s="1239"/>
      <c r="P24" s="1239"/>
      <c r="Q24" s="1239"/>
      <c r="R24" s="1239"/>
      <c r="S24" s="2443"/>
      <c r="T24" s="1240">
        <f>SUM(U24:AE24)</f>
        <v>0</v>
      </c>
      <c r="U24" s="1239"/>
      <c r="V24" s="1239"/>
      <c r="W24" s="1239"/>
      <c r="X24" s="1239"/>
      <c r="Y24" s="1239"/>
      <c r="Z24" s="1239"/>
      <c r="AA24" s="1239"/>
      <c r="AB24" s="1239"/>
      <c r="AC24" s="1239"/>
      <c r="AD24" s="1239"/>
      <c r="AE24" s="2443"/>
      <c r="AF24" s="1240">
        <f>SUM(AG24:AR24)</f>
        <v>0</v>
      </c>
      <c r="AG24" s="1239"/>
      <c r="AH24" s="1239"/>
      <c r="AI24" s="1239"/>
      <c r="AJ24" s="1239"/>
      <c r="AK24" s="1239"/>
      <c r="AL24" s="1239"/>
      <c r="AM24" s="1239"/>
      <c r="AN24" s="1239"/>
      <c r="AO24" s="1239"/>
      <c r="AP24" s="1239"/>
      <c r="AQ24" s="1239"/>
      <c r="AR24" s="2443"/>
      <c r="AS24" s="1240">
        <f>SUM(AT24:BB24)</f>
        <v>0</v>
      </c>
      <c r="AT24" s="1239"/>
      <c r="AU24" s="1239"/>
      <c r="AV24" s="1239"/>
      <c r="AW24" s="1239"/>
      <c r="AX24" s="1239"/>
      <c r="AY24" s="1239"/>
      <c r="AZ24" s="1239"/>
      <c r="BA24" s="1239"/>
      <c r="BB24" s="2443"/>
      <c r="BC24" s="1240">
        <f>SUM(BD24:BL24)</f>
        <v>0</v>
      </c>
      <c r="BD24" s="1239"/>
      <c r="BE24" s="1239"/>
      <c r="BF24" s="1239"/>
      <c r="BG24" s="1239"/>
      <c r="BH24" s="1239"/>
      <c r="BI24" s="1239"/>
      <c r="BJ24" s="1239"/>
      <c r="BK24" s="1239"/>
      <c r="BL24" s="2443"/>
      <c r="BM24" s="1240">
        <f>SUM(BN24:BV24)</f>
        <v>0</v>
      </c>
      <c r="BN24" s="1239"/>
      <c r="BO24" s="1239"/>
      <c r="BP24" s="1239"/>
      <c r="BQ24" s="1239"/>
      <c r="BR24" s="1239"/>
      <c r="BS24" s="1239"/>
      <c r="BT24" s="1239"/>
      <c r="BU24" s="1239"/>
      <c r="BV24" s="2443"/>
      <c r="BW24" s="1240">
        <f>SUM(BX24:CG24)</f>
        <v>0</v>
      </c>
      <c r="BX24" s="1239"/>
      <c r="BY24" s="1239"/>
      <c r="BZ24" s="1239"/>
      <c r="CA24" s="1239"/>
      <c r="CB24" s="1239"/>
      <c r="CC24" s="1239"/>
      <c r="CD24" s="1239"/>
      <c r="CE24" s="1239"/>
      <c r="CF24" s="1239"/>
      <c r="CG24" s="2443"/>
      <c r="CH24" s="1240">
        <f>SUM(CI24:CQ24)</f>
        <v>0</v>
      </c>
      <c r="CI24" s="1239"/>
      <c r="CJ24" s="1239"/>
      <c r="CK24" s="1239"/>
      <c r="CL24" s="1239"/>
      <c r="CM24" s="1239"/>
      <c r="CN24" s="1239"/>
      <c r="CO24" s="1239"/>
      <c r="CP24" s="1239"/>
      <c r="CQ24" s="2443"/>
      <c r="CR24" s="1240">
        <f>SUM(CS24:CV24)</f>
        <v>0</v>
      </c>
      <c r="CS24" s="1239"/>
      <c r="CT24" s="1239"/>
      <c r="CU24" s="1239"/>
      <c r="CV24" s="2443"/>
      <c r="CW24" s="1240">
        <f>SUM(CX24:DE24)</f>
        <v>0</v>
      </c>
      <c r="CX24" s="1239"/>
      <c r="CY24" s="1239"/>
      <c r="CZ24" s="1239"/>
      <c r="DA24" s="1239"/>
      <c r="DB24" s="1239"/>
      <c r="DC24" s="1239"/>
      <c r="DD24" s="1239"/>
      <c r="DE24" s="2443"/>
      <c r="DF24" s="1238"/>
      <c r="DR24" s="1159">
        <v>23</v>
      </c>
    </row>
    <row customHeight="1" ht="35.699999999999996">
      <c r="F25" s="1234" t="s">
        <v>1370</v>
      </c>
      <c r="G25" s="1241" t="s">
        <v>1371</v>
      </c>
      <c r="H25" s="1240">
        <f>SUM(I25:J25)</f>
        <v>0</v>
      </c>
      <c r="I25" s="1239"/>
      <c r="J25" s="1229"/>
      <c r="K25" s="1240">
        <f>SUM(L25:S25)</f>
        <v>0</v>
      </c>
      <c r="L25" s="1239"/>
      <c r="M25" s="1239"/>
      <c r="N25" s="1239"/>
      <c r="O25" s="1239"/>
      <c r="P25" s="1239"/>
      <c r="Q25" s="1239"/>
      <c r="R25" s="1239"/>
      <c r="S25" s="2443"/>
      <c r="T25" s="1240">
        <f>SUM(U25:AE25)</f>
        <v>0</v>
      </c>
      <c r="U25" s="1239"/>
      <c r="V25" s="1239"/>
      <c r="W25" s="1239"/>
      <c r="X25" s="1239"/>
      <c r="Y25" s="1239"/>
      <c r="Z25" s="1239"/>
      <c r="AA25" s="1239"/>
      <c r="AB25" s="1239"/>
      <c r="AC25" s="1239"/>
      <c r="AD25" s="1239"/>
      <c r="AE25" s="2443"/>
      <c r="AF25" s="1240">
        <f>SUM(AG25:AR25)</f>
        <v>0</v>
      </c>
      <c r="AG25" s="1239"/>
      <c r="AH25" s="1239"/>
      <c r="AI25" s="1239"/>
      <c r="AJ25" s="1239"/>
      <c r="AK25" s="1239"/>
      <c r="AL25" s="1239"/>
      <c r="AM25" s="1239"/>
      <c r="AN25" s="1239"/>
      <c r="AO25" s="1239"/>
      <c r="AP25" s="1239"/>
      <c r="AQ25" s="1239"/>
      <c r="AR25" s="2443"/>
      <c r="AS25" s="1240">
        <f>SUM(AT25:BB25)</f>
        <v>0</v>
      </c>
      <c r="AT25" s="1239"/>
      <c r="AU25" s="1239"/>
      <c r="AV25" s="1239"/>
      <c r="AW25" s="1239"/>
      <c r="AX25" s="1239"/>
      <c r="AY25" s="1239"/>
      <c r="AZ25" s="1239"/>
      <c r="BA25" s="1239"/>
      <c r="BB25" s="2443"/>
      <c r="BC25" s="1240">
        <f>SUM(BD25:BL25)</f>
        <v>0</v>
      </c>
      <c r="BD25" s="1239"/>
      <c r="BE25" s="1239"/>
      <c r="BF25" s="1239"/>
      <c r="BG25" s="1239"/>
      <c r="BH25" s="1239"/>
      <c r="BI25" s="1239"/>
      <c r="BJ25" s="1239"/>
      <c r="BK25" s="1239"/>
      <c r="BL25" s="2443"/>
      <c r="BM25" s="1240">
        <f>SUM(BN25:BV25)</f>
        <v>0</v>
      </c>
      <c r="BN25" s="1239"/>
      <c r="BO25" s="1239"/>
      <c r="BP25" s="1239"/>
      <c r="BQ25" s="1239"/>
      <c r="BR25" s="1239"/>
      <c r="BS25" s="1239"/>
      <c r="BT25" s="1239"/>
      <c r="BU25" s="1239"/>
      <c r="BV25" s="2443"/>
      <c r="BW25" s="1240">
        <f>SUM(BX25:CG25)</f>
        <v>0</v>
      </c>
      <c r="BX25" s="1239"/>
      <c r="BY25" s="1239"/>
      <c r="BZ25" s="1239"/>
      <c r="CA25" s="1239"/>
      <c r="CB25" s="1239"/>
      <c r="CC25" s="1239"/>
      <c r="CD25" s="1239"/>
      <c r="CE25" s="1239"/>
      <c r="CF25" s="1239"/>
      <c r="CG25" s="2443"/>
      <c r="CH25" s="1240">
        <f>SUM(CI25:CQ25)</f>
        <v>0</v>
      </c>
      <c r="CI25" s="1239"/>
      <c r="CJ25" s="1239"/>
      <c r="CK25" s="1239"/>
      <c r="CL25" s="1239"/>
      <c r="CM25" s="1239"/>
      <c r="CN25" s="1239"/>
      <c r="CO25" s="1239"/>
      <c r="CP25" s="1239"/>
      <c r="CQ25" s="2443"/>
      <c r="CR25" s="1240">
        <f>SUM(CS25:CV25)</f>
        <v>0</v>
      </c>
      <c r="CS25" s="1239"/>
      <c r="CT25" s="1239"/>
      <c r="CU25" s="1239"/>
      <c r="CV25" s="2443"/>
      <c r="CW25" s="1240">
        <f>SUM(CX25:DE25)</f>
        <v>0</v>
      </c>
      <c r="CX25" s="1239"/>
      <c r="CY25" s="1239"/>
      <c r="CZ25" s="1239"/>
      <c r="DA25" s="1239"/>
      <c r="DB25" s="1239"/>
      <c r="DC25" s="1239"/>
      <c r="DD25" s="1239"/>
      <c r="DE25" s="2443"/>
      <c r="DF25" s="1238"/>
      <c r="DR25" s="1159">
        <v>34</v>
      </c>
    </row>
    <row customHeight="1" ht="35.699999999999996">
      <c r="F26" s="1234" t="s">
        <v>1372</v>
      </c>
      <c r="G26" s="1241" t="s">
        <v>1373</v>
      </c>
      <c r="H26" s="1240">
        <f>SUM(I26:J26)</f>
        <v>0</v>
      </c>
      <c r="I26" s="1239"/>
      <c r="J26" s="1229"/>
      <c r="K26" s="1240">
        <f>SUM(L26:S26)</f>
        <v>0</v>
      </c>
      <c r="L26" s="1239"/>
      <c r="M26" s="1239"/>
      <c r="N26" s="1239"/>
      <c r="O26" s="1239"/>
      <c r="P26" s="1239"/>
      <c r="Q26" s="1239"/>
      <c r="R26" s="1239"/>
      <c r="S26" s="2443"/>
      <c r="T26" s="1240">
        <f>SUM(U26:AE26)</f>
        <v>0</v>
      </c>
      <c r="U26" s="1239"/>
      <c r="V26" s="1239"/>
      <c r="W26" s="1239"/>
      <c r="X26" s="1239"/>
      <c r="Y26" s="1239"/>
      <c r="Z26" s="1239"/>
      <c r="AA26" s="1239"/>
      <c r="AB26" s="1239"/>
      <c r="AC26" s="1239"/>
      <c r="AD26" s="1239"/>
      <c r="AE26" s="2443"/>
      <c r="AF26" s="1240">
        <f>SUM(AG26:AR26)</f>
        <v>0</v>
      </c>
      <c r="AG26" s="1239"/>
      <c r="AH26" s="1239"/>
      <c r="AI26" s="1239"/>
      <c r="AJ26" s="1239"/>
      <c r="AK26" s="1239"/>
      <c r="AL26" s="1239"/>
      <c r="AM26" s="1239"/>
      <c r="AN26" s="1239"/>
      <c r="AO26" s="1239"/>
      <c r="AP26" s="1239"/>
      <c r="AQ26" s="1239"/>
      <c r="AR26" s="2443"/>
      <c r="AS26" s="1240">
        <f>SUM(AT26:BB26)</f>
        <v>0</v>
      </c>
      <c r="AT26" s="1239"/>
      <c r="AU26" s="1239"/>
      <c r="AV26" s="1239"/>
      <c r="AW26" s="1239"/>
      <c r="AX26" s="1239"/>
      <c r="AY26" s="1239"/>
      <c r="AZ26" s="1239"/>
      <c r="BA26" s="1239"/>
      <c r="BB26" s="2443"/>
      <c r="BC26" s="1240">
        <f>SUM(BD26:BL26)</f>
        <v>0</v>
      </c>
      <c r="BD26" s="1239"/>
      <c r="BE26" s="1239"/>
      <c r="BF26" s="1239"/>
      <c r="BG26" s="1239"/>
      <c r="BH26" s="1239"/>
      <c r="BI26" s="1239"/>
      <c r="BJ26" s="1239"/>
      <c r="BK26" s="1239"/>
      <c r="BL26" s="2443"/>
      <c r="BM26" s="1240">
        <f>SUM(BN26:BV26)</f>
        <v>0</v>
      </c>
      <c r="BN26" s="1239"/>
      <c r="BO26" s="1239"/>
      <c r="BP26" s="1239"/>
      <c r="BQ26" s="1239"/>
      <c r="BR26" s="1239"/>
      <c r="BS26" s="1239"/>
      <c r="BT26" s="1239"/>
      <c r="BU26" s="1239"/>
      <c r="BV26" s="2443"/>
      <c r="BW26" s="1240">
        <f>SUM(BX26:CG26)</f>
        <v>0</v>
      </c>
      <c r="BX26" s="1239"/>
      <c r="BY26" s="1239"/>
      <c r="BZ26" s="1239"/>
      <c r="CA26" s="1239"/>
      <c r="CB26" s="1239"/>
      <c r="CC26" s="1239"/>
      <c r="CD26" s="1239"/>
      <c r="CE26" s="1239"/>
      <c r="CF26" s="1239"/>
      <c r="CG26" s="2443"/>
      <c r="CH26" s="1240">
        <f>SUM(CI26:CQ26)</f>
        <v>0</v>
      </c>
      <c r="CI26" s="1239"/>
      <c r="CJ26" s="1239"/>
      <c r="CK26" s="1239"/>
      <c r="CL26" s="1239"/>
      <c r="CM26" s="1239"/>
      <c r="CN26" s="1239"/>
      <c r="CO26" s="1239"/>
      <c r="CP26" s="1239"/>
      <c r="CQ26" s="2443"/>
      <c r="CR26" s="1240">
        <f>SUM(CS26:CV26)</f>
        <v>0</v>
      </c>
      <c r="CS26" s="1239"/>
      <c r="CT26" s="1239"/>
      <c r="CU26" s="1239"/>
      <c r="CV26" s="2443"/>
      <c r="CW26" s="1240">
        <f>SUM(CX26:DE26)</f>
        <v>0</v>
      </c>
      <c r="CX26" s="1239"/>
      <c r="CY26" s="1239"/>
      <c r="CZ26" s="1239"/>
      <c r="DA26" s="1239"/>
      <c r="DB26" s="1239"/>
      <c r="DC26" s="1239"/>
      <c r="DD26" s="1239"/>
      <c r="DE26" s="2443"/>
      <c r="DF26" s="1238"/>
      <c r="DR26" s="1159">
        <v>34</v>
      </c>
    </row>
    <row customHeight="1" ht="11.549999999999999">
      <c r="F27" s="1234" t="s">
        <v>1374</v>
      </c>
      <c r="G27" s="1241" t="s">
        <v>1375</v>
      </c>
      <c r="H27" s="1240">
        <f>SUM(I27:J27)</f>
        <v>0</v>
      </c>
      <c r="I27" s="1239"/>
      <c r="J27" s="1229"/>
      <c r="K27" s="1240">
        <f>SUM(L27:S27)</f>
        <v>0</v>
      </c>
      <c r="L27" s="1239"/>
      <c r="M27" s="1239"/>
      <c r="N27" s="1239"/>
      <c r="O27" s="1239"/>
      <c r="P27" s="1239"/>
      <c r="Q27" s="1239"/>
      <c r="R27" s="1239"/>
      <c r="S27" s="2443"/>
      <c r="T27" s="1240">
        <f>SUM(U27:AE27)</f>
        <v>0</v>
      </c>
      <c r="U27" s="1239"/>
      <c r="V27" s="1239"/>
      <c r="W27" s="1239"/>
      <c r="X27" s="1239"/>
      <c r="Y27" s="1239"/>
      <c r="Z27" s="1239"/>
      <c r="AA27" s="1239"/>
      <c r="AB27" s="1239"/>
      <c r="AC27" s="1239"/>
      <c r="AD27" s="1239"/>
      <c r="AE27" s="2443"/>
      <c r="AF27" s="1240">
        <f>SUM(AG27:AR27)</f>
        <v>0</v>
      </c>
      <c r="AG27" s="1239"/>
      <c r="AH27" s="1239"/>
      <c r="AI27" s="1239"/>
      <c r="AJ27" s="1239"/>
      <c r="AK27" s="1239"/>
      <c r="AL27" s="1239"/>
      <c r="AM27" s="1239"/>
      <c r="AN27" s="1239"/>
      <c r="AO27" s="1239"/>
      <c r="AP27" s="1239"/>
      <c r="AQ27" s="1239"/>
      <c r="AR27" s="2443"/>
      <c r="AS27" s="1240">
        <f>SUM(AT27:BB27)</f>
        <v>0</v>
      </c>
      <c r="AT27" s="1239"/>
      <c r="AU27" s="1239"/>
      <c r="AV27" s="1239"/>
      <c r="AW27" s="1239"/>
      <c r="AX27" s="1239"/>
      <c r="AY27" s="1239"/>
      <c r="AZ27" s="1239"/>
      <c r="BA27" s="1239"/>
      <c r="BB27" s="2443"/>
      <c r="BC27" s="1240">
        <f>SUM(BD27:BL27)</f>
        <v>0</v>
      </c>
      <c r="BD27" s="1239"/>
      <c r="BE27" s="1239"/>
      <c r="BF27" s="1239"/>
      <c r="BG27" s="1239"/>
      <c r="BH27" s="1239"/>
      <c r="BI27" s="1239"/>
      <c r="BJ27" s="1239"/>
      <c r="BK27" s="1239"/>
      <c r="BL27" s="2443"/>
      <c r="BM27" s="1240">
        <f>SUM(BN27:BV27)</f>
        <v>0</v>
      </c>
      <c r="BN27" s="1239"/>
      <c r="BO27" s="1239"/>
      <c r="BP27" s="1239"/>
      <c r="BQ27" s="1239"/>
      <c r="BR27" s="1239"/>
      <c r="BS27" s="1239"/>
      <c r="BT27" s="1239"/>
      <c r="BU27" s="1239"/>
      <c r="BV27" s="2443"/>
      <c r="BW27" s="1240">
        <f>SUM(BX27:CG27)</f>
        <v>0</v>
      </c>
      <c r="BX27" s="1239"/>
      <c r="BY27" s="1239"/>
      <c r="BZ27" s="1239"/>
      <c r="CA27" s="1239"/>
      <c r="CB27" s="1239"/>
      <c r="CC27" s="1239"/>
      <c r="CD27" s="1239"/>
      <c r="CE27" s="1239"/>
      <c r="CF27" s="1239"/>
      <c r="CG27" s="2443"/>
      <c r="CH27" s="1240">
        <f>SUM(CI27:CQ27)</f>
        <v>0</v>
      </c>
      <c r="CI27" s="1239"/>
      <c r="CJ27" s="1239"/>
      <c r="CK27" s="1239"/>
      <c r="CL27" s="1239"/>
      <c r="CM27" s="1239"/>
      <c r="CN27" s="1239"/>
      <c r="CO27" s="1239"/>
      <c r="CP27" s="1239"/>
      <c r="CQ27" s="2443"/>
      <c r="CR27" s="1240">
        <f>SUM(CS27:CV27)</f>
        <v>0</v>
      </c>
      <c r="CS27" s="1239"/>
      <c r="CT27" s="1239"/>
      <c r="CU27" s="1239"/>
      <c r="CV27" s="2443"/>
      <c r="CW27" s="1240">
        <f>SUM(CX27:DE27)</f>
        <v>0</v>
      </c>
      <c r="CX27" s="1239"/>
      <c r="CY27" s="1239"/>
      <c r="CZ27" s="1239"/>
      <c r="DA27" s="1239"/>
      <c r="DB27" s="1239"/>
      <c r="DC27" s="1239"/>
      <c r="DD27" s="1239"/>
      <c r="DE27" s="2443"/>
      <c r="DF27" s="1238"/>
      <c r="DR27" s="1159">
        <v>11</v>
      </c>
    </row>
    <row customHeight="1" ht="11.549999999999999">
      <c r="F28" s="1234">
        <v>2</v>
      </c>
      <c r="G28" s="694" t="s">
        <v>1376</v>
      </c>
      <c r="H28" s="1240">
        <f>SUM(I28:J28)</f>
        <v>0</v>
      </c>
      <c r="I28" s="1240">
        <f>SUM(I29:I31)</f>
        <v>0</v>
      </c>
      <c r="J28" s="1229"/>
      <c r="K28" s="1240">
        <f>SUM(L28:S28)</f>
        <v>0</v>
      </c>
      <c r="L28" s="1240">
        <f>SUM(L29:L31)</f>
        <v>0</v>
      </c>
      <c r="M28" s="1240">
        <f>SUM(M29:M31)</f>
        <v>0</v>
      </c>
      <c r="N28" s="1240">
        <f>SUM(N29:N31)</f>
        <v>0</v>
      </c>
      <c r="O28" s="1240">
        <f>SUM(O29:O31)</f>
        <v>0</v>
      </c>
      <c r="P28" s="1240">
        <f>SUM(P29:P31)</f>
        <v>0</v>
      </c>
      <c r="Q28" s="1240">
        <f>SUM(Q29:Q31)</f>
        <v>0</v>
      </c>
      <c r="R28" s="1240">
        <f>SUM(R29:R31)</f>
        <v>0</v>
      </c>
      <c r="S28" s="2443"/>
      <c r="T28" s="1240">
        <f>SUM(U28:AE28)</f>
        <v>0</v>
      </c>
      <c r="U28" s="1240">
        <f>SUM(U29:U31)</f>
        <v>0</v>
      </c>
      <c r="V28" s="1240">
        <f>SUM(V29:V31)</f>
        <v>0</v>
      </c>
      <c r="W28" s="1240">
        <f>SUM(W29:W31)</f>
        <v>0</v>
      </c>
      <c r="X28" s="1240">
        <f>SUM(X29:X31)</f>
        <v>0</v>
      </c>
      <c r="Y28" s="1240">
        <f>SUM(Y29:Y31)</f>
        <v>0</v>
      </c>
      <c r="Z28" s="1240">
        <f>SUM(Z29:Z31)</f>
        <v>0</v>
      </c>
      <c r="AA28" s="1240">
        <f>SUM(AA29:AA31)</f>
        <v>0</v>
      </c>
      <c r="AB28" s="1240">
        <f>SUM(AB29:AB31)</f>
        <v>0</v>
      </c>
      <c r="AC28" s="1240">
        <f>SUM(AC29:AC31)</f>
        <v>0</v>
      </c>
      <c r="AD28" s="1240">
        <f>SUM(AD29:AD31)</f>
        <v>0</v>
      </c>
      <c r="AE28" s="2443"/>
      <c r="AF28" s="1240">
        <f>SUM(AG28:AR28)</f>
        <v>0</v>
      </c>
      <c r="AG28" s="1240">
        <f>SUM(AG29:AG31)</f>
        <v>0</v>
      </c>
      <c r="AH28" s="1240">
        <f>SUM(AH29:AH31)</f>
        <v>0</v>
      </c>
      <c r="AI28" s="1240">
        <f>SUM(AI29:AI31)</f>
        <v>0</v>
      </c>
      <c r="AJ28" s="1240">
        <f>SUM(AJ29:AJ31)</f>
        <v>0</v>
      </c>
      <c r="AK28" s="1240">
        <f>SUM(AK29:AK31)</f>
        <v>0</v>
      </c>
      <c r="AL28" s="1240">
        <f>SUM(AL29:AL31)</f>
        <v>0</v>
      </c>
      <c r="AM28" s="1240">
        <f>SUM(AM29:AM31)</f>
        <v>0</v>
      </c>
      <c r="AN28" s="1240">
        <f>SUM(AN29:AN31)</f>
        <v>0</v>
      </c>
      <c r="AO28" s="1240">
        <f>SUM(AO29:AO31)</f>
        <v>0</v>
      </c>
      <c r="AP28" s="1240">
        <f>SUM(AP29:AP31)</f>
        <v>0</v>
      </c>
      <c r="AQ28" s="1240">
        <f>SUM(AQ29:AQ31)</f>
        <v>0</v>
      </c>
      <c r="AR28" s="2443"/>
      <c r="AS28" s="1240">
        <f>SUM(AT28:BB28)</f>
        <v>0</v>
      </c>
      <c r="AT28" s="1240">
        <f>SUM(AT29:AT31)</f>
        <v>0</v>
      </c>
      <c r="AU28" s="1240">
        <f>SUM(AU29:AU31)</f>
        <v>0</v>
      </c>
      <c r="AV28" s="1240">
        <f>SUM(AV29:AV31)</f>
        <v>0</v>
      </c>
      <c r="AW28" s="1240">
        <f>SUM(AW29:AW31)</f>
        <v>0</v>
      </c>
      <c r="AX28" s="1240">
        <f>SUM(AX29:AX31)</f>
        <v>0</v>
      </c>
      <c r="AY28" s="1240">
        <f>SUM(AY29:AY31)</f>
        <v>0</v>
      </c>
      <c r="AZ28" s="1240">
        <f>SUM(AZ29:AZ31)</f>
        <v>0</v>
      </c>
      <c r="BA28" s="1240">
        <f>SUM(BA29:BA31)</f>
        <v>0</v>
      </c>
      <c r="BB28" s="2443"/>
      <c r="BC28" s="1240">
        <f>SUM(BD28:BL28)</f>
        <v>0</v>
      </c>
      <c r="BD28" s="1240">
        <f>SUM(BD29:BD31)</f>
        <v>0</v>
      </c>
      <c r="BE28" s="1240">
        <f>SUM(BE29:BE31)</f>
        <v>0</v>
      </c>
      <c r="BF28" s="1240">
        <f>SUM(BF29:BF31)</f>
        <v>0</v>
      </c>
      <c r="BG28" s="1240">
        <f>SUM(BG29:BG31)</f>
        <v>0</v>
      </c>
      <c r="BH28" s="1240">
        <f>SUM(BH29:BH31)</f>
        <v>0</v>
      </c>
      <c r="BI28" s="1240">
        <f>SUM(BI29:BI31)</f>
        <v>0</v>
      </c>
      <c r="BJ28" s="1240">
        <f>SUM(BJ29:BJ31)</f>
        <v>0</v>
      </c>
      <c r="BK28" s="1240">
        <f>SUM(BK29:BK31)</f>
        <v>0</v>
      </c>
      <c r="BL28" s="2443"/>
      <c r="BM28" s="1240">
        <f>SUM(BN28:BV28)</f>
        <v>0</v>
      </c>
      <c r="BN28" s="1240">
        <f>SUM(BN29:BN31)</f>
        <v>0</v>
      </c>
      <c r="BO28" s="1240">
        <f>SUM(BO29:BO31)</f>
        <v>0</v>
      </c>
      <c r="BP28" s="1240">
        <f>SUM(BP29:BP31)</f>
        <v>0</v>
      </c>
      <c r="BQ28" s="1240">
        <f>SUM(BQ29:BQ31)</f>
        <v>0</v>
      </c>
      <c r="BR28" s="1240">
        <f>SUM(BR29:BR31)</f>
        <v>0</v>
      </c>
      <c r="BS28" s="1240">
        <f>SUM(BS29:BS31)</f>
        <v>0</v>
      </c>
      <c r="BT28" s="1240">
        <f>SUM(BT29:BT31)</f>
        <v>0</v>
      </c>
      <c r="BU28" s="1240">
        <f>SUM(BU29:BU31)</f>
        <v>0</v>
      </c>
      <c r="BV28" s="2443"/>
      <c r="BW28" s="1240">
        <f>SUM(BX28:CG28)</f>
        <v>0</v>
      </c>
      <c r="BX28" s="1240">
        <f>SUM(BX29:BX31)</f>
        <v>0</v>
      </c>
      <c r="BY28" s="1240">
        <f>SUM(BY29:BY31)</f>
        <v>0</v>
      </c>
      <c r="BZ28" s="1240">
        <f>SUM(BZ29:BZ31)</f>
        <v>0</v>
      </c>
      <c r="CA28" s="1240">
        <f>SUM(CA29:CA31)</f>
        <v>0</v>
      </c>
      <c r="CB28" s="1240">
        <f>SUM(CB29:CB31)</f>
        <v>0</v>
      </c>
      <c r="CC28" s="1240">
        <f>SUM(CC29:CC31)</f>
        <v>0</v>
      </c>
      <c r="CD28" s="1240">
        <f>SUM(CD29:CD31)</f>
        <v>0</v>
      </c>
      <c r="CE28" s="1240">
        <f>SUM(CE29:CE31)</f>
        <v>0</v>
      </c>
      <c r="CF28" s="1240">
        <f>SUM(CF29:CF31)</f>
        <v>0</v>
      </c>
      <c r="CG28" s="2443"/>
      <c r="CH28" s="1240">
        <f>SUM(CI28:CQ28)</f>
        <v>0</v>
      </c>
      <c r="CI28" s="1240">
        <f>SUM(CI29:CI31)</f>
        <v>0</v>
      </c>
      <c r="CJ28" s="1240">
        <f>SUM(CJ29:CJ31)</f>
        <v>0</v>
      </c>
      <c r="CK28" s="1240">
        <f>SUM(CK29:CK31)</f>
        <v>0</v>
      </c>
      <c r="CL28" s="1240">
        <f>SUM(CL29:CL31)</f>
        <v>0</v>
      </c>
      <c r="CM28" s="1240">
        <f>SUM(CM29:CM31)</f>
        <v>0</v>
      </c>
      <c r="CN28" s="1240">
        <f>SUM(CN29:CN31)</f>
        <v>0</v>
      </c>
      <c r="CO28" s="1240">
        <f>SUM(CO29:CO31)</f>
        <v>0</v>
      </c>
      <c r="CP28" s="1240">
        <f>SUM(CP29:CP31)</f>
        <v>0</v>
      </c>
      <c r="CQ28" s="2443"/>
      <c r="CR28" s="1240">
        <f>SUM(CS28:CV28)</f>
        <v>0</v>
      </c>
      <c r="CS28" s="1240">
        <f>SUM(CS29:CS31)</f>
        <v>0</v>
      </c>
      <c r="CT28" s="1240">
        <f>SUM(CT29:CT31)</f>
        <v>0</v>
      </c>
      <c r="CU28" s="1240">
        <f>SUM(CU29:CU31)</f>
        <v>0</v>
      </c>
      <c r="CV28" s="2443"/>
      <c r="CW28" s="1240">
        <f>SUM(CX28:DE28)</f>
        <v>0</v>
      </c>
      <c r="CX28" s="1240">
        <f>SUM(CX29:CX31)</f>
        <v>0</v>
      </c>
      <c r="CY28" s="1240">
        <f>SUM(CY29:CY31)</f>
        <v>0</v>
      </c>
      <c r="CZ28" s="1240">
        <f>SUM(CZ29:CZ31)</f>
        <v>0</v>
      </c>
      <c r="DA28" s="1240">
        <f>SUM(DA29:DA31)</f>
        <v>0</v>
      </c>
      <c r="DB28" s="1240">
        <f>SUM(DB29:DB31)</f>
        <v>0</v>
      </c>
      <c r="DC28" s="1240">
        <f>SUM(DC29:DC31)</f>
        <v>0</v>
      </c>
      <c r="DD28" s="1240">
        <f>SUM(DD29:DD31)</f>
        <v>0</v>
      </c>
      <c r="DE28" s="2443"/>
      <c r="DF28" s="1238"/>
      <c r="DR28" s="1159">
        <v>11</v>
      </c>
    </row>
    <row customHeight="1" ht="11.549999999999999">
      <c r="F29" s="1234" t="s">
        <v>891</v>
      </c>
      <c r="G29" s="1241" t="s">
        <v>1377</v>
      </c>
      <c r="H29" s="1240">
        <f>SUM(I29:J29)</f>
        <v>0</v>
      </c>
      <c r="I29" s="1239"/>
      <c r="J29" s="1229"/>
      <c r="K29" s="1240">
        <f>SUM(L29:S29)</f>
        <v>0</v>
      </c>
      <c r="L29" s="1239"/>
      <c r="M29" s="1239"/>
      <c r="N29" s="1239"/>
      <c r="O29" s="1239"/>
      <c r="P29" s="1239"/>
      <c r="Q29" s="1239"/>
      <c r="R29" s="1239"/>
      <c r="S29" s="2443"/>
      <c r="T29" s="1240">
        <f>SUM(U29:AE29)</f>
        <v>0</v>
      </c>
      <c r="U29" s="1239"/>
      <c r="V29" s="1239"/>
      <c r="W29" s="1239"/>
      <c r="X29" s="1239"/>
      <c r="Y29" s="1239"/>
      <c r="Z29" s="1239"/>
      <c r="AA29" s="1239"/>
      <c r="AB29" s="1239"/>
      <c r="AC29" s="1239"/>
      <c r="AD29" s="1239"/>
      <c r="AE29" s="2443"/>
      <c r="AF29" s="1240">
        <f>SUM(AG29:AR29)</f>
        <v>0</v>
      </c>
      <c r="AG29" s="1239"/>
      <c r="AH29" s="1239"/>
      <c r="AI29" s="1239"/>
      <c r="AJ29" s="1239"/>
      <c r="AK29" s="1239"/>
      <c r="AL29" s="1239"/>
      <c r="AM29" s="1239"/>
      <c r="AN29" s="1239"/>
      <c r="AO29" s="1239"/>
      <c r="AP29" s="1239"/>
      <c r="AQ29" s="1239"/>
      <c r="AR29" s="2443"/>
      <c r="AS29" s="1240">
        <f>SUM(AT29:BB29)</f>
        <v>0</v>
      </c>
      <c r="AT29" s="1239"/>
      <c r="AU29" s="1239"/>
      <c r="AV29" s="1239"/>
      <c r="AW29" s="1239"/>
      <c r="AX29" s="1239"/>
      <c r="AY29" s="1239"/>
      <c r="AZ29" s="1239"/>
      <c r="BA29" s="1239"/>
      <c r="BB29" s="2443"/>
      <c r="BC29" s="1240">
        <f>SUM(BD29:BL29)</f>
        <v>0</v>
      </c>
      <c r="BD29" s="1239"/>
      <c r="BE29" s="1239"/>
      <c r="BF29" s="1239"/>
      <c r="BG29" s="1239"/>
      <c r="BH29" s="1239"/>
      <c r="BI29" s="1239"/>
      <c r="BJ29" s="1239"/>
      <c r="BK29" s="1239"/>
      <c r="BL29" s="2443"/>
      <c r="BM29" s="1240">
        <f>SUM(BN29:BV29)</f>
        <v>0</v>
      </c>
      <c r="BN29" s="1239"/>
      <c r="BO29" s="1239"/>
      <c r="BP29" s="1239"/>
      <c r="BQ29" s="1239"/>
      <c r="BR29" s="1239"/>
      <c r="BS29" s="1239"/>
      <c r="BT29" s="1239"/>
      <c r="BU29" s="1239"/>
      <c r="BV29" s="2443"/>
      <c r="BW29" s="1240">
        <f>SUM(BX29:CG29)</f>
        <v>0</v>
      </c>
      <c r="BX29" s="1239"/>
      <c r="BY29" s="1239"/>
      <c r="BZ29" s="1239"/>
      <c r="CA29" s="1239"/>
      <c r="CB29" s="1239"/>
      <c r="CC29" s="1239"/>
      <c r="CD29" s="1239"/>
      <c r="CE29" s="1239"/>
      <c r="CF29" s="1239"/>
      <c r="CG29" s="2443"/>
      <c r="CH29" s="1240">
        <f>SUM(CI29:CQ29)</f>
        <v>0</v>
      </c>
      <c r="CI29" s="1239"/>
      <c r="CJ29" s="1239"/>
      <c r="CK29" s="1239"/>
      <c r="CL29" s="1239"/>
      <c r="CM29" s="1239"/>
      <c r="CN29" s="1239"/>
      <c r="CO29" s="1239"/>
      <c r="CP29" s="1239"/>
      <c r="CQ29" s="2443"/>
      <c r="CR29" s="1240">
        <f>SUM(CS29:CV29)</f>
        <v>0</v>
      </c>
      <c r="CS29" s="1239"/>
      <c r="CT29" s="1239"/>
      <c r="CU29" s="1239"/>
      <c r="CV29" s="2443"/>
      <c r="CW29" s="1240">
        <f>SUM(CX29:DE29)</f>
        <v>0</v>
      </c>
      <c r="CX29" s="1239"/>
      <c r="CY29" s="1239"/>
      <c r="CZ29" s="1239"/>
      <c r="DA29" s="1239"/>
      <c r="DB29" s="1239"/>
      <c r="DC29" s="1239"/>
      <c r="DD29" s="1239"/>
      <c r="DE29" s="2443"/>
      <c r="DF29" s="1238"/>
      <c r="DR29" s="1159">
        <v>11</v>
      </c>
    </row>
    <row customHeight="1" ht="11.549999999999999">
      <c r="F30" s="1234" t="s">
        <v>445</v>
      </c>
      <c r="G30" s="1241" t="s">
        <v>1378</v>
      </c>
      <c r="H30" s="1240">
        <f>SUM(I30:J30)</f>
        <v>0</v>
      </c>
      <c r="I30" s="1239"/>
      <c r="J30" s="1229"/>
      <c r="K30" s="1240">
        <f>SUM(L30:S30)</f>
        <v>0</v>
      </c>
      <c r="L30" s="1239"/>
      <c r="M30" s="1239"/>
      <c r="N30" s="1239"/>
      <c r="O30" s="1239"/>
      <c r="P30" s="1239"/>
      <c r="Q30" s="1239"/>
      <c r="R30" s="1239"/>
      <c r="S30" s="2443"/>
      <c r="T30" s="1240">
        <f>SUM(U30:AE30)</f>
        <v>0</v>
      </c>
      <c r="U30" s="1239"/>
      <c r="V30" s="1239"/>
      <c r="W30" s="1239"/>
      <c r="X30" s="1239"/>
      <c r="Y30" s="1239"/>
      <c r="Z30" s="1239"/>
      <c r="AA30" s="1239"/>
      <c r="AB30" s="1239"/>
      <c r="AC30" s="1239"/>
      <c r="AD30" s="1239"/>
      <c r="AE30" s="2443"/>
      <c r="AF30" s="1240">
        <f>SUM(AG30:AR30)</f>
        <v>0</v>
      </c>
      <c r="AG30" s="1239"/>
      <c r="AH30" s="1239"/>
      <c r="AI30" s="1239"/>
      <c r="AJ30" s="1239"/>
      <c r="AK30" s="1239"/>
      <c r="AL30" s="1239"/>
      <c r="AM30" s="1239"/>
      <c r="AN30" s="1239"/>
      <c r="AO30" s="1239"/>
      <c r="AP30" s="1239"/>
      <c r="AQ30" s="1239"/>
      <c r="AR30" s="2443"/>
      <c r="AS30" s="1240">
        <f>SUM(AT30:BB30)</f>
        <v>0</v>
      </c>
      <c r="AT30" s="1239"/>
      <c r="AU30" s="1239"/>
      <c r="AV30" s="1239"/>
      <c r="AW30" s="1239"/>
      <c r="AX30" s="1239"/>
      <c r="AY30" s="1239"/>
      <c r="AZ30" s="1239"/>
      <c r="BA30" s="1239"/>
      <c r="BB30" s="2443"/>
      <c r="BC30" s="1240">
        <f>SUM(BD30:BL30)</f>
        <v>0</v>
      </c>
      <c r="BD30" s="1239"/>
      <c r="BE30" s="1239"/>
      <c r="BF30" s="1239"/>
      <c r="BG30" s="1239"/>
      <c r="BH30" s="1239"/>
      <c r="BI30" s="1239"/>
      <c r="BJ30" s="1239"/>
      <c r="BK30" s="1239"/>
      <c r="BL30" s="2443"/>
      <c r="BM30" s="1240">
        <f>SUM(BN30:BV30)</f>
        <v>0</v>
      </c>
      <c r="BN30" s="1239"/>
      <c r="BO30" s="1239"/>
      <c r="BP30" s="1239"/>
      <c r="BQ30" s="1239"/>
      <c r="BR30" s="1239"/>
      <c r="BS30" s="1239"/>
      <c r="BT30" s="1239"/>
      <c r="BU30" s="1239"/>
      <c r="BV30" s="2443"/>
      <c r="BW30" s="1240">
        <f>SUM(BX30:CG30)</f>
        <v>0</v>
      </c>
      <c r="BX30" s="1239"/>
      <c r="BY30" s="1239"/>
      <c r="BZ30" s="1239"/>
      <c r="CA30" s="1239"/>
      <c r="CB30" s="1239"/>
      <c r="CC30" s="1239"/>
      <c r="CD30" s="1239"/>
      <c r="CE30" s="1239"/>
      <c r="CF30" s="1239"/>
      <c r="CG30" s="2443"/>
      <c r="CH30" s="1240">
        <f>SUM(CI30:CQ30)</f>
        <v>0</v>
      </c>
      <c r="CI30" s="1239"/>
      <c r="CJ30" s="1239"/>
      <c r="CK30" s="1239"/>
      <c r="CL30" s="1239"/>
      <c r="CM30" s="1239"/>
      <c r="CN30" s="1239"/>
      <c r="CO30" s="1239"/>
      <c r="CP30" s="1239"/>
      <c r="CQ30" s="2443"/>
      <c r="CR30" s="1240">
        <f>SUM(CS30:CV30)</f>
        <v>0</v>
      </c>
      <c r="CS30" s="1239"/>
      <c r="CT30" s="1239"/>
      <c r="CU30" s="1239"/>
      <c r="CV30" s="2443"/>
      <c r="CW30" s="1240">
        <f>SUM(CX30:DE30)</f>
        <v>0</v>
      </c>
      <c r="CX30" s="1239"/>
      <c r="CY30" s="1239"/>
      <c r="CZ30" s="1239"/>
      <c r="DA30" s="1239"/>
      <c r="DB30" s="1239"/>
      <c r="DC30" s="1239"/>
      <c r="DD30" s="1239"/>
      <c r="DE30" s="2443"/>
      <c r="DF30" s="1238"/>
      <c r="DR30" s="1159">
        <v>11</v>
      </c>
    </row>
    <row customHeight="1" ht="11.549999999999999">
      <c r="F31" s="1234" t="s">
        <v>448</v>
      </c>
      <c r="G31" s="1241" t="s">
        <v>1379</v>
      </c>
      <c r="H31" s="1240">
        <f>SUM(I31:J31)</f>
        <v>0</v>
      </c>
      <c r="I31" s="1239"/>
      <c r="J31" s="1229"/>
      <c r="K31" s="1240">
        <f>SUM(L31:S31)</f>
        <v>0</v>
      </c>
      <c r="L31" s="1239"/>
      <c r="M31" s="1239"/>
      <c r="N31" s="1239"/>
      <c r="O31" s="1239"/>
      <c r="P31" s="1239"/>
      <c r="Q31" s="1239"/>
      <c r="R31" s="1239"/>
      <c r="S31" s="2443"/>
      <c r="T31" s="1240">
        <f>SUM(U31:AE31)</f>
        <v>0</v>
      </c>
      <c r="U31" s="1239"/>
      <c r="V31" s="1239"/>
      <c r="W31" s="1239"/>
      <c r="X31" s="1239"/>
      <c r="Y31" s="1239"/>
      <c r="Z31" s="1239"/>
      <c r="AA31" s="1239"/>
      <c r="AB31" s="1239"/>
      <c r="AC31" s="1239"/>
      <c r="AD31" s="1239"/>
      <c r="AE31" s="2443"/>
      <c r="AF31" s="1240">
        <f>SUM(AG31:AR31)</f>
        <v>0</v>
      </c>
      <c r="AG31" s="1239"/>
      <c r="AH31" s="1239"/>
      <c r="AI31" s="1239"/>
      <c r="AJ31" s="1239"/>
      <c r="AK31" s="1239"/>
      <c r="AL31" s="1239"/>
      <c r="AM31" s="1239"/>
      <c r="AN31" s="1239"/>
      <c r="AO31" s="1239"/>
      <c r="AP31" s="1239"/>
      <c r="AQ31" s="1239"/>
      <c r="AR31" s="2443"/>
      <c r="AS31" s="1240">
        <f>SUM(AT31:BB31)</f>
        <v>0</v>
      </c>
      <c r="AT31" s="1239"/>
      <c r="AU31" s="1239"/>
      <c r="AV31" s="1239"/>
      <c r="AW31" s="1239"/>
      <c r="AX31" s="1239"/>
      <c r="AY31" s="1239"/>
      <c r="AZ31" s="1239"/>
      <c r="BA31" s="1239"/>
      <c r="BB31" s="2443"/>
      <c r="BC31" s="1240">
        <f>SUM(BD31:BL31)</f>
        <v>0</v>
      </c>
      <c r="BD31" s="1239"/>
      <c r="BE31" s="1239"/>
      <c r="BF31" s="1239"/>
      <c r="BG31" s="1239"/>
      <c r="BH31" s="1239"/>
      <c r="BI31" s="1239"/>
      <c r="BJ31" s="1239"/>
      <c r="BK31" s="1239"/>
      <c r="BL31" s="2443"/>
      <c r="BM31" s="1240">
        <f>SUM(BN31:BV31)</f>
        <v>0</v>
      </c>
      <c r="BN31" s="1239"/>
      <c r="BO31" s="1239"/>
      <c r="BP31" s="1239"/>
      <c r="BQ31" s="1239"/>
      <c r="BR31" s="1239"/>
      <c r="BS31" s="1239"/>
      <c r="BT31" s="1239"/>
      <c r="BU31" s="1239"/>
      <c r="BV31" s="2443"/>
      <c r="BW31" s="1240">
        <f>SUM(BX31:CG31)</f>
        <v>0</v>
      </c>
      <c r="BX31" s="1239"/>
      <c r="BY31" s="1239"/>
      <c r="BZ31" s="1239"/>
      <c r="CA31" s="1239"/>
      <c r="CB31" s="1239"/>
      <c r="CC31" s="1239"/>
      <c r="CD31" s="1239"/>
      <c r="CE31" s="1239"/>
      <c r="CF31" s="1239"/>
      <c r="CG31" s="2443"/>
      <c r="CH31" s="1240">
        <f>SUM(CI31:CQ31)</f>
        <v>0</v>
      </c>
      <c r="CI31" s="1239"/>
      <c r="CJ31" s="1239"/>
      <c r="CK31" s="1239"/>
      <c r="CL31" s="1239"/>
      <c r="CM31" s="1239"/>
      <c r="CN31" s="1239"/>
      <c r="CO31" s="1239"/>
      <c r="CP31" s="1239"/>
      <c r="CQ31" s="2443"/>
      <c r="CR31" s="1240">
        <f>SUM(CS31:CV31)</f>
        <v>0</v>
      </c>
      <c r="CS31" s="1239"/>
      <c r="CT31" s="1239"/>
      <c r="CU31" s="1239"/>
      <c r="CV31" s="2443"/>
      <c r="CW31" s="1240">
        <f>SUM(CX31:DE31)</f>
        <v>0</v>
      </c>
      <c r="CX31" s="1239"/>
      <c r="CY31" s="1239"/>
      <c r="CZ31" s="1239"/>
      <c r="DA31" s="1239"/>
      <c r="DB31" s="1239"/>
      <c r="DC31" s="1239"/>
      <c r="DD31" s="1239"/>
      <c r="DE31" s="2443"/>
      <c r="DF31" s="1238"/>
      <c r="DR31" s="1159">
        <v>11</v>
      </c>
    </row>
    <row customHeight="1" ht="11.549999999999999">
      <c r="F32" s="1234">
        <v>3</v>
      </c>
      <c r="G32" s="694" t="s">
        <v>1380</v>
      </c>
      <c r="H32" s="1240">
        <f>SUM(I32:J32)</f>
        <v>0</v>
      </c>
      <c r="I32" s="1240">
        <f>SUM(I33:I34)</f>
        <v>0</v>
      </c>
      <c r="J32" s="1229"/>
      <c r="K32" s="1240">
        <f>SUM(L32:S32)</f>
        <v>0</v>
      </c>
      <c r="L32" s="1240">
        <f>SUM(L33:L34)</f>
        <v>0</v>
      </c>
      <c r="M32" s="1240">
        <f>SUM(M33:M34)</f>
        <v>0</v>
      </c>
      <c r="N32" s="1240">
        <f>SUM(N33:N34)</f>
        <v>0</v>
      </c>
      <c r="O32" s="1240">
        <f>SUM(O33:O34)</f>
        <v>0</v>
      </c>
      <c r="P32" s="1240">
        <f>SUM(P33:P34)</f>
        <v>0</v>
      </c>
      <c r="Q32" s="1240">
        <f>SUM(Q33:Q34)</f>
        <v>0</v>
      </c>
      <c r="R32" s="1240">
        <f>SUM(R33:R34)</f>
        <v>0</v>
      </c>
      <c r="S32" s="2443"/>
      <c r="T32" s="1240">
        <f>SUM(U32:AE32)</f>
        <v>0</v>
      </c>
      <c r="U32" s="1240">
        <f>SUM(U33:U34)</f>
        <v>0</v>
      </c>
      <c r="V32" s="1240">
        <f>SUM(V33:V34)</f>
        <v>0</v>
      </c>
      <c r="W32" s="1240">
        <f>SUM(W33:W34)</f>
        <v>0</v>
      </c>
      <c r="X32" s="1240">
        <f>SUM(X33:X34)</f>
        <v>0</v>
      </c>
      <c r="Y32" s="1240">
        <f>SUM(Y33:Y34)</f>
        <v>0</v>
      </c>
      <c r="Z32" s="1240">
        <f>SUM(Z33:Z34)</f>
        <v>0</v>
      </c>
      <c r="AA32" s="1240">
        <f>SUM(AA33:AA34)</f>
        <v>0</v>
      </c>
      <c r="AB32" s="1240">
        <f>SUM(AB33:AB34)</f>
        <v>0</v>
      </c>
      <c r="AC32" s="1240">
        <f>SUM(AC33:AC34)</f>
        <v>0</v>
      </c>
      <c r="AD32" s="1240">
        <f>SUM(AD33:AD34)</f>
        <v>0</v>
      </c>
      <c r="AE32" s="2443"/>
      <c r="AF32" s="1240">
        <f>SUM(AG32:AR32)</f>
        <v>0</v>
      </c>
      <c r="AG32" s="1240">
        <f>SUM(AG33:AG34)</f>
        <v>0</v>
      </c>
      <c r="AH32" s="1240">
        <f>SUM(AH33:AH34)</f>
        <v>0</v>
      </c>
      <c r="AI32" s="1240">
        <f>SUM(AI33:AI34)</f>
        <v>0</v>
      </c>
      <c r="AJ32" s="1240">
        <f>SUM(AJ33:AJ34)</f>
        <v>0</v>
      </c>
      <c r="AK32" s="1240">
        <f>SUM(AK33:AK34)</f>
        <v>0</v>
      </c>
      <c r="AL32" s="1240">
        <f>SUM(AL33:AL34)</f>
        <v>0</v>
      </c>
      <c r="AM32" s="1240">
        <f>SUM(AM33:AM34)</f>
        <v>0</v>
      </c>
      <c r="AN32" s="1240">
        <f>SUM(AN33:AN34)</f>
        <v>0</v>
      </c>
      <c r="AO32" s="1240">
        <f>SUM(AO33:AO34)</f>
        <v>0</v>
      </c>
      <c r="AP32" s="1240">
        <f>SUM(AP33:AP34)</f>
        <v>0</v>
      </c>
      <c r="AQ32" s="1240">
        <f>SUM(AQ33:AQ34)</f>
        <v>0</v>
      </c>
      <c r="AR32" s="2443"/>
      <c r="AS32" s="1240">
        <f>SUM(AT32:BB32)</f>
        <v>0</v>
      </c>
      <c r="AT32" s="1240">
        <f>SUM(AT33:AT34)</f>
        <v>0</v>
      </c>
      <c r="AU32" s="1240">
        <f>SUM(AU33:AU34)</f>
        <v>0</v>
      </c>
      <c r="AV32" s="1240">
        <f>SUM(AV33:AV34)</f>
        <v>0</v>
      </c>
      <c r="AW32" s="1240">
        <f>SUM(AW33:AW34)</f>
        <v>0</v>
      </c>
      <c r="AX32" s="1240">
        <f>SUM(AX33:AX34)</f>
        <v>0</v>
      </c>
      <c r="AY32" s="1240">
        <f>SUM(AY33:AY34)</f>
        <v>0</v>
      </c>
      <c r="AZ32" s="1240">
        <f>SUM(AZ33:AZ34)</f>
        <v>0</v>
      </c>
      <c r="BA32" s="1240">
        <f>SUM(BA33:BA34)</f>
        <v>0</v>
      </c>
      <c r="BB32" s="2443"/>
      <c r="BC32" s="1240">
        <f>SUM(BD32:BL32)</f>
        <v>0</v>
      </c>
      <c r="BD32" s="1240">
        <f>SUM(BD33:BD34)</f>
        <v>0</v>
      </c>
      <c r="BE32" s="1240">
        <f>SUM(BE33:BE34)</f>
        <v>0</v>
      </c>
      <c r="BF32" s="1240">
        <f>SUM(BF33:BF34)</f>
        <v>0</v>
      </c>
      <c r="BG32" s="1240">
        <f>SUM(BG33:BG34)</f>
        <v>0</v>
      </c>
      <c r="BH32" s="1240">
        <f>SUM(BH33:BH34)</f>
        <v>0</v>
      </c>
      <c r="BI32" s="1240">
        <f>SUM(BI33:BI34)</f>
        <v>0</v>
      </c>
      <c r="BJ32" s="1240">
        <f>SUM(BJ33:BJ34)</f>
        <v>0</v>
      </c>
      <c r="BK32" s="1240">
        <f>SUM(BK33:BK34)</f>
        <v>0</v>
      </c>
      <c r="BL32" s="2443"/>
      <c r="BM32" s="1240">
        <f>SUM(BN32:BV32)</f>
        <v>0</v>
      </c>
      <c r="BN32" s="1240">
        <f>SUM(BN33:BN34)</f>
        <v>0</v>
      </c>
      <c r="BO32" s="1240">
        <f>SUM(BO33:BO34)</f>
        <v>0</v>
      </c>
      <c r="BP32" s="1240">
        <f>SUM(BP33:BP34)</f>
        <v>0</v>
      </c>
      <c r="BQ32" s="1240">
        <f>SUM(BQ33:BQ34)</f>
        <v>0</v>
      </c>
      <c r="BR32" s="1240">
        <f>SUM(BR33:BR34)</f>
        <v>0</v>
      </c>
      <c r="BS32" s="1240">
        <f>SUM(BS33:BS34)</f>
        <v>0</v>
      </c>
      <c r="BT32" s="1240">
        <f>SUM(BT33:BT34)</f>
        <v>0</v>
      </c>
      <c r="BU32" s="1240">
        <f>SUM(BU33:BU34)</f>
        <v>0</v>
      </c>
      <c r="BV32" s="2443"/>
      <c r="BW32" s="1240">
        <f>SUM(BX32:CG32)</f>
        <v>0</v>
      </c>
      <c r="BX32" s="1240">
        <f>SUM(BX33:BX34)</f>
        <v>0</v>
      </c>
      <c r="BY32" s="1240">
        <f>SUM(BY33:BY34)</f>
        <v>0</v>
      </c>
      <c r="BZ32" s="1240">
        <f>SUM(BZ33:BZ34)</f>
        <v>0</v>
      </c>
      <c r="CA32" s="1240">
        <f>SUM(CA33:CA34)</f>
        <v>0</v>
      </c>
      <c r="CB32" s="1240">
        <f>SUM(CB33:CB34)</f>
        <v>0</v>
      </c>
      <c r="CC32" s="1240">
        <f>SUM(CC33:CC34)</f>
        <v>0</v>
      </c>
      <c r="CD32" s="1240">
        <f>SUM(CD33:CD34)</f>
        <v>0</v>
      </c>
      <c r="CE32" s="1240">
        <f>SUM(CE33:CE34)</f>
        <v>0</v>
      </c>
      <c r="CF32" s="1240">
        <f>SUM(CF33:CF34)</f>
        <v>0</v>
      </c>
      <c r="CG32" s="2443"/>
      <c r="CH32" s="1240">
        <f>SUM(CI32:CQ32)</f>
        <v>0</v>
      </c>
      <c r="CI32" s="1240">
        <f>SUM(CI33:CI34)</f>
        <v>0</v>
      </c>
      <c r="CJ32" s="1240">
        <f>SUM(CJ33:CJ34)</f>
        <v>0</v>
      </c>
      <c r="CK32" s="1240">
        <f>SUM(CK33:CK34)</f>
        <v>0</v>
      </c>
      <c r="CL32" s="1240">
        <f>SUM(CL33:CL34)</f>
        <v>0</v>
      </c>
      <c r="CM32" s="1240">
        <f>SUM(CM33:CM34)</f>
        <v>0</v>
      </c>
      <c r="CN32" s="1240">
        <f>SUM(CN33:CN34)</f>
        <v>0</v>
      </c>
      <c r="CO32" s="1240">
        <f>SUM(CO33:CO34)</f>
        <v>0</v>
      </c>
      <c r="CP32" s="1240">
        <f>SUM(CP33:CP34)</f>
        <v>0</v>
      </c>
      <c r="CQ32" s="2443"/>
      <c r="CR32" s="1240">
        <f>SUM(CS32:CV32)</f>
        <v>0</v>
      </c>
      <c r="CS32" s="1240">
        <f>SUM(CS33:CS34)</f>
        <v>0</v>
      </c>
      <c r="CT32" s="1240">
        <f>SUM(CT33:CT34)</f>
        <v>0</v>
      </c>
      <c r="CU32" s="1240">
        <f>SUM(CU33:CU34)</f>
        <v>0</v>
      </c>
      <c r="CV32" s="2443"/>
      <c r="CW32" s="1240">
        <f>SUM(CX32:DE32)</f>
        <v>0</v>
      </c>
      <c r="CX32" s="1240">
        <f>SUM(CX33:CX34)</f>
        <v>0</v>
      </c>
      <c r="CY32" s="1240">
        <f>SUM(CY33:CY34)</f>
        <v>0</v>
      </c>
      <c r="CZ32" s="1240">
        <f>SUM(CZ33:CZ34)</f>
        <v>0</v>
      </c>
      <c r="DA32" s="1240">
        <f>SUM(DA33:DA34)</f>
        <v>0</v>
      </c>
      <c r="DB32" s="1240">
        <f>SUM(DB33:DB34)</f>
        <v>0</v>
      </c>
      <c r="DC32" s="1240">
        <f>SUM(DC33:DC34)</f>
        <v>0</v>
      </c>
      <c r="DD32" s="1240">
        <f>SUM(DD33:DD34)</f>
        <v>0</v>
      </c>
      <c r="DE32" s="2443"/>
      <c r="DF32" s="1238"/>
      <c r="DR32" s="1159">
        <v>11</v>
      </c>
    </row>
    <row customHeight="1" ht="48.29999999999999">
      <c r="F33" s="1234" t="s">
        <v>462</v>
      </c>
      <c r="G33" s="1241" t="s">
        <v>1381</v>
      </c>
      <c r="H33" s="1240">
        <f>SUM(I33:J33)</f>
        <v>0</v>
      </c>
      <c r="I33" s="1239"/>
      <c r="J33" s="1229"/>
      <c r="K33" s="1240">
        <f>SUM(L33:S33)</f>
        <v>0</v>
      </c>
      <c r="L33" s="1239"/>
      <c r="M33" s="1239"/>
      <c r="N33" s="1239"/>
      <c r="O33" s="1239"/>
      <c r="P33" s="1239"/>
      <c r="Q33" s="1239"/>
      <c r="R33" s="1239"/>
      <c r="S33" s="2443"/>
      <c r="T33" s="1240">
        <f>SUM(U33:AE33)</f>
        <v>0</v>
      </c>
      <c r="U33" s="1239"/>
      <c r="V33" s="1239"/>
      <c r="W33" s="1239"/>
      <c r="X33" s="1239"/>
      <c r="Y33" s="1239"/>
      <c r="Z33" s="1239"/>
      <c r="AA33" s="1239"/>
      <c r="AB33" s="1239"/>
      <c r="AC33" s="1239"/>
      <c r="AD33" s="1239"/>
      <c r="AE33" s="2443"/>
      <c r="AF33" s="1240">
        <f>SUM(AG33:AR33)</f>
        <v>0</v>
      </c>
      <c r="AG33" s="1239"/>
      <c r="AH33" s="1239"/>
      <c r="AI33" s="1239"/>
      <c r="AJ33" s="1239"/>
      <c r="AK33" s="1239"/>
      <c r="AL33" s="1239"/>
      <c r="AM33" s="1239"/>
      <c r="AN33" s="1239"/>
      <c r="AO33" s="1239"/>
      <c r="AP33" s="1239"/>
      <c r="AQ33" s="1239"/>
      <c r="AR33" s="2443"/>
      <c r="AS33" s="1240">
        <f>SUM(AT33:BB33)</f>
        <v>0</v>
      </c>
      <c r="AT33" s="1239"/>
      <c r="AU33" s="1239"/>
      <c r="AV33" s="1239"/>
      <c r="AW33" s="1239"/>
      <c r="AX33" s="1239"/>
      <c r="AY33" s="1239"/>
      <c r="AZ33" s="1239"/>
      <c r="BA33" s="1239"/>
      <c r="BB33" s="2443"/>
      <c r="BC33" s="1240">
        <f>SUM(BD33:BL33)</f>
        <v>0</v>
      </c>
      <c r="BD33" s="1239"/>
      <c r="BE33" s="1239"/>
      <c r="BF33" s="1239"/>
      <c r="BG33" s="1239"/>
      <c r="BH33" s="1239"/>
      <c r="BI33" s="1239"/>
      <c r="BJ33" s="1239"/>
      <c r="BK33" s="1239"/>
      <c r="BL33" s="2443"/>
      <c r="BM33" s="1240">
        <f>SUM(BN33:BV33)</f>
        <v>0</v>
      </c>
      <c r="BN33" s="1239"/>
      <c r="BO33" s="1239"/>
      <c r="BP33" s="1239"/>
      <c r="BQ33" s="1239"/>
      <c r="BR33" s="1239"/>
      <c r="BS33" s="1239"/>
      <c r="BT33" s="1239"/>
      <c r="BU33" s="1239"/>
      <c r="BV33" s="2443"/>
      <c r="BW33" s="1240">
        <f>SUM(BX33:CG33)</f>
        <v>0</v>
      </c>
      <c r="BX33" s="1239"/>
      <c r="BY33" s="1239"/>
      <c r="BZ33" s="1239"/>
      <c r="CA33" s="1239"/>
      <c r="CB33" s="1239"/>
      <c r="CC33" s="1239"/>
      <c r="CD33" s="1239"/>
      <c r="CE33" s="1239"/>
      <c r="CF33" s="1239"/>
      <c r="CG33" s="2443"/>
      <c r="CH33" s="1240">
        <f>SUM(CI33:CQ33)</f>
        <v>0</v>
      </c>
      <c r="CI33" s="1239"/>
      <c r="CJ33" s="1239"/>
      <c r="CK33" s="1239"/>
      <c r="CL33" s="1239"/>
      <c r="CM33" s="1239"/>
      <c r="CN33" s="1239"/>
      <c r="CO33" s="1239"/>
      <c r="CP33" s="1239"/>
      <c r="CQ33" s="2443"/>
      <c r="CR33" s="1240">
        <f>SUM(CS33:CV33)</f>
        <v>0</v>
      </c>
      <c r="CS33" s="1239"/>
      <c r="CT33" s="1239"/>
      <c r="CU33" s="1239"/>
      <c r="CV33" s="2443"/>
      <c r="CW33" s="1240">
        <f>SUM(CX33:DE33)</f>
        <v>0</v>
      </c>
      <c r="CX33" s="1239"/>
      <c r="CY33" s="1239"/>
      <c r="CZ33" s="1239"/>
      <c r="DA33" s="1239"/>
      <c r="DB33" s="1239"/>
      <c r="DC33" s="1239"/>
      <c r="DD33" s="1239"/>
      <c r="DE33" s="2443"/>
      <c r="DF33" s="1238"/>
      <c r="DR33" s="1159">
        <v>46</v>
      </c>
    </row>
    <row customHeight="1" ht="11.549999999999999">
      <c r="F34" s="1234" t="s">
        <v>470</v>
      </c>
      <c r="G34" s="1241" t="s">
        <v>1382</v>
      </c>
      <c r="H34" s="1240">
        <f>SUM(I34:J34)</f>
        <v>0</v>
      </c>
      <c r="I34" s="1239"/>
      <c r="J34" s="1229"/>
      <c r="K34" s="1240">
        <f>SUM(L34:S34)</f>
        <v>0</v>
      </c>
      <c r="L34" s="1239"/>
      <c r="M34" s="1239"/>
      <c r="N34" s="1239"/>
      <c r="O34" s="1239"/>
      <c r="P34" s="1239"/>
      <c r="Q34" s="1239"/>
      <c r="R34" s="1239"/>
      <c r="S34" s="2443"/>
      <c r="T34" s="1240">
        <f>SUM(U34:AE34)</f>
        <v>0</v>
      </c>
      <c r="U34" s="1239"/>
      <c r="V34" s="1239"/>
      <c r="W34" s="1239"/>
      <c r="X34" s="1239"/>
      <c r="Y34" s="1239"/>
      <c r="Z34" s="1239"/>
      <c r="AA34" s="1239"/>
      <c r="AB34" s="1239"/>
      <c r="AC34" s="1239"/>
      <c r="AD34" s="1239"/>
      <c r="AE34" s="2443"/>
      <c r="AF34" s="1240">
        <f>SUM(AG34:AR34)</f>
        <v>0</v>
      </c>
      <c r="AG34" s="1239"/>
      <c r="AH34" s="1239"/>
      <c r="AI34" s="1239"/>
      <c r="AJ34" s="1239"/>
      <c r="AK34" s="1239"/>
      <c r="AL34" s="1239"/>
      <c r="AM34" s="1239"/>
      <c r="AN34" s="1239"/>
      <c r="AO34" s="1239"/>
      <c r="AP34" s="1239"/>
      <c r="AQ34" s="1239"/>
      <c r="AR34" s="2443"/>
      <c r="AS34" s="1240">
        <f>SUM(AT34:BB34)</f>
        <v>0</v>
      </c>
      <c r="AT34" s="1239"/>
      <c r="AU34" s="1239"/>
      <c r="AV34" s="1239"/>
      <c r="AW34" s="1239"/>
      <c r="AX34" s="1239"/>
      <c r="AY34" s="1239"/>
      <c r="AZ34" s="1239"/>
      <c r="BA34" s="1239"/>
      <c r="BB34" s="2443"/>
      <c r="BC34" s="1240">
        <f>SUM(BD34:BL34)</f>
        <v>0</v>
      </c>
      <c r="BD34" s="1239"/>
      <c r="BE34" s="1239"/>
      <c r="BF34" s="1239"/>
      <c r="BG34" s="1239"/>
      <c r="BH34" s="1239"/>
      <c r="BI34" s="1239"/>
      <c r="BJ34" s="1239"/>
      <c r="BK34" s="1239"/>
      <c r="BL34" s="2443"/>
      <c r="BM34" s="1240">
        <f>SUM(BN34:BV34)</f>
        <v>0</v>
      </c>
      <c r="BN34" s="1239"/>
      <c r="BO34" s="1239"/>
      <c r="BP34" s="1239"/>
      <c r="BQ34" s="1239"/>
      <c r="BR34" s="1239"/>
      <c r="BS34" s="1239"/>
      <c r="BT34" s="1239"/>
      <c r="BU34" s="1239"/>
      <c r="BV34" s="2443"/>
      <c r="BW34" s="1240">
        <f>SUM(BX34:CG34)</f>
        <v>0</v>
      </c>
      <c r="BX34" s="1239"/>
      <c r="BY34" s="1239"/>
      <c r="BZ34" s="1239"/>
      <c r="CA34" s="1239"/>
      <c r="CB34" s="1239"/>
      <c r="CC34" s="1239"/>
      <c r="CD34" s="1239"/>
      <c r="CE34" s="1239"/>
      <c r="CF34" s="1239"/>
      <c r="CG34" s="2443"/>
      <c r="CH34" s="1240">
        <f>SUM(CI34:CQ34)</f>
        <v>0</v>
      </c>
      <c r="CI34" s="1239"/>
      <c r="CJ34" s="1239"/>
      <c r="CK34" s="1239"/>
      <c r="CL34" s="1239"/>
      <c r="CM34" s="1239"/>
      <c r="CN34" s="1239"/>
      <c r="CO34" s="1239"/>
      <c r="CP34" s="1239"/>
      <c r="CQ34" s="2443"/>
      <c r="CR34" s="1240">
        <f>SUM(CS34:CV34)</f>
        <v>0</v>
      </c>
      <c r="CS34" s="1239"/>
      <c r="CT34" s="1239"/>
      <c r="CU34" s="1239"/>
      <c r="CV34" s="2443"/>
      <c r="CW34" s="1240">
        <f>SUM(CX34:DE34)</f>
        <v>0</v>
      </c>
      <c r="CX34" s="1239"/>
      <c r="CY34" s="1239"/>
      <c r="CZ34" s="1239"/>
      <c r="DA34" s="1239"/>
      <c r="DB34" s="1239"/>
      <c r="DC34" s="1239"/>
      <c r="DD34" s="1239"/>
      <c r="DE34" s="2443"/>
      <c r="DF34" s="1238"/>
      <c r="DR34" s="1159">
        <v>11</v>
      </c>
    </row>
    <row customHeight="1" ht="11.549999999999999">
      <c r="F35" s="1234">
        <v>4</v>
      </c>
      <c r="G35" s="694" t="s">
        <v>1383</v>
      </c>
      <c r="H35" s="1240">
        <f>SUM(I35:J35)</f>
        <v>0</v>
      </c>
      <c r="I35" s="1239"/>
      <c r="J35" s="1229"/>
      <c r="K35" s="1240">
        <f>SUM(L35:S35)</f>
        <v>0</v>
      </c>
      <c r="L35" s="1239"/>
      <c r="M35" s="1239"/>
      <c r="N35" s="1239"/>
      <c r="O35" s="1239"/>
      <c r="P35" s="1239"/>
      <c r="Q35" s="1239"/>
      <c r="R35" s="1239"/>
      <c r="S35" s="2443"/>
      <c r="T35" s="1240">
        <f>SUM(U35:AE35)</f>
        <v>0</v>
      </c>
      <c r="U35" s="1239"/>
      <c r="V35" s="1239"/>
      <c r="W35" s="1239"/>
      <c r="X35" s="1239"/>
      <c r="Y35" s="1239"/>
      <c r="Z35" s="1239"/>
      <c r="AA35" s="1239"/>
      <c r="AB35" s="1239"/>
      <c r="AC35" s="1239"/>
      <c r="AD35" s="1239"/>
      <c r="AE35" s="2443"/>
      <c r="AF35" s="1240">
        <f>SUM(AG35:AR35)</f>
        <v>0</v>
      </c>
      <c r="AG35" s="1239"/>
      <c r="AH35" s="1239"/>
      <c r="AI35" s="1239"/>
      <c r="AJ35" s="1239"/>
      <c r="AK35" s="1239"/>
      <c r="AL35" s="1239"/>
      <c r="AM35" s="1239"/>
      <c r="AN35" s="1239"/>
      <c r="AO35" s="1239"/>
      <c r="AP35" s="1239"/>
      <c r="AQ35" s="1239"/>
      <c r="AR35" s="2443"/>
      <c r="AS35" s="1240">
        <f>SUM(AT35:BB35)</f>
        <v>0</v>
      </c>
      <c r="AT35" s="1239"/>
      <c r="AU35" s="1239"/>
      <c r="AV35" s="1239"/>
      <c r="AW35" s="1239"/>
      <c r="AX35" s="1239"/>
      <c r="AY35" s="1239"/>
      <c r="AZ35" s="1239"/>
      <c r="BA35" s="1239"/>
      <c r="BB35" s="2443"/>
      <c r="BC35" s="1240">
        <f>SUM(BD35:BL35)</f>
        <v>0</v>
      </c>
      <c r="BD35" s="1239"/>
      <c r="BE35" s="1239"/>
      <c r="BF35" s="1239"/>
      <c r="BG35" s="1239"/>
      <c r="BH35" s="1239"/>
      <c r="BI35" s="1239"/>
      <c r="BJ35" s="1239"/>
      <c r="BK35" s="1239"/>
      <c r="BL35" s="2443"/>
      <c r="BM35" s="1240">
        <f>SUM(BN35:BV35)</f>
        <v>0</v>
      </c>
      <c r="BN35" s="1239"/>
      <c r="BO35" s="1239"/>
      <c r="BP35" s="1239"/>
      <c r="BQ35" s="1239"/>
      <c r="BR35" s="1239"/>
      <c r="BS35" s="1239"/>
      <c r="BT35" s="1239"/>
      <c r="BU35" s="1239"/>
      <c r="BV35" s="2443"/>
      <c r="BW35" s="1240">
        <f>SUM(BX35:CG35)</f>
        <v>0</v>
      </c>
      <c r="BX35" s="1239"/>
      <c r="BY35" s="1239"/>
      <c r="BZ35" s="1239"/>
      <c r="CA35" s="1239"/>
      <c r="CB35" s="1239"/>
      <c r="CC35" s="1239"/>
      <c r="CD35" s="1239"/>
      <c r="CE35" s="1239"/>
      <c r="CF35" s="1239"/>
      <c r="CG35" s="2443"/>
      <c r="CH35" s="1240">
        <f>SUM(CI35:CQ35)</f>
        <v>0</v>
      </c>
      <c r="CI35" s="1239"/>
      <c r="CJ35" s="1239"/>
      <c r="CK35" s="1239"/>
      <c r="CL35" s="1239"/>
      <c r="CM35" s="1239"/>
      <c r="CN35" s="1239"/>
      <c r="CO35" s="1239"/>
      <c r="CP35" s="1239"/>
      <c r="CQ35" s="2443"/>
      <c r="CR35" s="1240">
        <f>SUM(CS35:CV35)</f>
        <v>0</v>
      </c>
      <c r="CS35" s="1239"/>
      <c r="CT35" s="1239"/>
      <c r="CU35" s="1239"/>
      <c r="CV35" s="2443"/>
      <c r="CW35" s="1240">
        <f>SUM(CX35:DE35)</f>
        <v>0</v>
      </c>
      <c r="CX35" s="1239"/>
      <c r="CY35" s="1239"/>
      <c r="CZ35" s="1239"/>
      <c r="DA35" s="1239"/>
      <c r="DB35" s="1239"/>
      <c r="DC35" s="1239"/>
      <c r="DD35" s="1239"/>
      <c r="DE35" s="2443"/>
      <c r="DF35" s="1238"/>
      <c r="DR35" s="1159">
        <v>11</v>
      </c>
    </row>
    <row customHeight="1" ht="11.549999999999999">
      <c r="F36" s="1234"/>
      <c r="G36" s="697" t="s">
        <v>1384</v>
      </c>
      <c r="H36" s="1240">
        <f>SUM(I36:J36)</f>
        <v>0</v>
      </c>
      <c r="I36" s="1240">
        <f>SUM(I15,I28,I32,I35)</f>
        <v>0</v>
      </c>
      <c r="J36" s="1229"/>
      <c r="K36" s="1240">
        <f>SUM(L36:S36)</f>
        <v>0</v>
      </c>
      <c r="L36" s="1240">
        <f>SUM(L15,L28,L32,L35)</f>
        <v>0</v>
      </c>
      <c r="M36" s="1240">
        <f>SUM(M15,M28,M32,M35)</f>
        <v>0</v>
      </c>
      <c r="N36" s="1240">
        <f>SUM(N15,N28,N32,N35)</f>
        <v>0</v>
      </c>
      <c r="O36" s="1240">
        <f>SUM(O15,O28,O32,O35)</f>
        <v>0</v>
      </c>
      <c r="P36" s="1240">
        <f>SUM(P15,P28,P32,P35)</f>
        <v>0</v>
      </c>
      <c r="Q36" s="1240">
        <f>SUM(Q15,Q28,Q32,Q35)</f>
        <v>0</v>
      </c>
      <c r="R36" s="1240">
        <f>SUM(R15,R28,R32,R35)</f>
        <v>0</v>
      </c>
      <c r="S36" s="2443"/>
      <c r="T36" s="1240">
        <f>SUM(U36:AE36)</f>
        <v>0</v>
      </c>
      <c r="U36" s="1240">
        <f>SUM(U15,U28,U32,U35)</f>
        <v>0</v>
      </c>
      <c r="V36" s="1240">
        <f>SUM(V15,V28,V32,V35)</f>
        <v>0</v>
      </c>
      <c r="W36" s="1240">
        <f>SUM(W15,W28,W32,W35)</f>
        <v>0</v>
      </c>
      <c r="X36" s="1240">
        <f>SUM(X15,X28,X32,X35)</f>
        <v>0</v>
      </c>
      <c r="Y36" s="1240">
        <f>SUM(Y15,Y28,Y32,Y35)</f>
        <v>0</v>
      </c>
      <c r="Z36" s="1240">
        <f>SUM(Z15,Z28,Z32,Z35)</f>
        <v>0</v>
      </c>
      <c r="AA36" s="1240">
        <f>SUM(AA15,AA28,AA32,AA35)</f>
        <v>0</v>
      </c>
      <c r="AB36" s="1240">
        <f>SUM(AB15,AB28,AB32,AB35)</f>
        <v>0</v>
      </c>
      <c r="AC36" s="1240">
        <f>SUM(AC15,AC28,AC32,AC35)</f>
        <v>0</v>
      </c>
      <c r="AD36" s="1240">
        <f>SUM(AD15,AD28,AD32,AD35)</f>
        <v>0</v>
      </c>
      <c r="AE36" s="2443"/>
      <c r="AF36" s="1240">
        <f>SUM(AG36:AR36)</f>
        <v>0</v>
      </c>
      <c r="AG36" s="1240">
        <f>SUM(AG15,AG28,AG32,AG35)</f>
        <v>0</v>
      </c>
      <c r="AH36" s="1240">
        <f>SUM(AH15,AH28,AH32,AH35)</f>
        <v>0</v>
      </c>
      <c r="AI36" s="1240">
        <f>SUM(AI15,AI28,AI32,AI35)</f>
        <v>0</v>
      </c>
      <c r="AJ36" s="1240">
        <f>SUM(AJ15,AJ28,AJ32,AJ35)</f>
        <v>0</v>
      </c>
      <c r="AK36" s="1240">
        <f>SUM(AK15,AK28,AK32,AK35)</f>
        <v>0</v>
      </c>
      <c r="AL36" s="1240">
        <f>SUM(AL15,AL28,AL32,AL35)</f>
        <v>0</v>
      </c>
      <c r="AM36" s="1240">
        <f>SUM(AM15,AM28,AM32,AM35)</f>
        <v>0</v>
      </c>
      <c r="AN36" s="1240">
        <f>SUM(AN15,AN28,AN32,AN35)</f>
        <v>0</v>
      </c>
      <c r="AO36" s="1240">
        <f>SUM(AO15,AO28,AO32,AO35)</f>
        <v>0</v>
      </c>
      <c r="AP36" s="1240">
        <f>SUM(AP15,AP28,AP32,AP35)</f>
        <v>0</v>
      </c>
      <c r="AQ36" s="1240">
        <f>SUM(AQ15,AQ28,AQ32,AQ35)</f>
        <v>0</v>
      </c>
      <c r="AR36" s="2443"/>
      <c r="AS36" s="1240">
        <f>SUM(AT36:BB36)</f>
        <v>0</v>
      </c>
      <c r="AT36" s="1240">
        <f>SUM(AT15,AT28,AT32,AT35)</f>
        <v>0</v>
      </c>
      <c r="AU36" s="1240">
        <f>SUM(AU15,AU28,AU32,AU35)</f>
        <v>0</v>
      </c>
      <c r="AV36" s="1240">
        <f>SUM(AV15,AV28,AV32,AV35)</f>
        <v>0</v>
      </c>
      <c r="AW36" s="1240">
        <f>SUM(AW15,AW28,AW32,AW35)</f>
        <v>0</v>
      </c>
      <c r="AX36" s="1240">
        <f>SUM(AX15,AX28,AX32,AX35)</f>
        <v>0</v>
      </c>
      <c r="AY36" s="1240">
        <f>SUM(AY15,AY28,AY32,AY35)</f>
        <v>0</v>
      </c>
      <c r="AZ36" s="1240">
        <f>SUM(AZ15,AZ28,AZ32,AZ35)</f>
        <v>0</v>
      </c>
      <c r="BA36" s="1240">
        <f>SUM(BA15,BA28,BA32,BA35)</f>
        <v>0</v>
      </c>
      <c r="BB36" s="2443"/>
      <c r="BC36" s="1240">
        <f>SUM(BD36:BL36)</f>
        <v>0</v>
      </c>
      <c r="BD36" s="1240">
        <f>SUM(BD15,BD28,BD32,BD35)</f>
        <v>0</v>
      </c>
      <c r="BE36" s="1240">
        <f>SUM(BE15,BE28,BE32,BE35)</f>
        <v>0</v>
      </c>
      <c r="BF36" s="1240">
        <f>SUM(BF15,BF28,BF32,BF35)</f>
        <v>0</v>
      </c>
      <c r="BG36" s="1240">
        <f>SUM(BG15,BG28,BG32,BG35)</f>
        <v>0</v>
      </c>
      <c r="BH36" s="1240">
        <f>SUM(BH15,BH28,BH32,BH35)</f>
        <v>0</v>
      </c>
      <c r="BI36" s="1240">
        <f>SUM(BI15,BI28,BI32,BI35)</f>
        <v>0</v>
      </c>
      <c r="BJ36" s="1240">
        <f>SUM(BJ15,BJ28,BJ32,BJ35)</f>
        <v>0</v>
      </c>
      <c r="BK36" s="1240">
        <f>SUM(BK15,BK28,BK32,BK35)</f>
        <v>0</v>
      </c>
      <c r="BL36" s="2443"/>
      <c r="BM36" s="1240">
        <f>SUM(BN36:BV36)</f>
        <v>0</v>
      </c>
      <c r="BN36" s="1240">
        <f>SUM(BN15,BN28,BN32,BN35)</f>
        <v>0</v>
      </c>
      <c r="BO36" s="1240">
        <f>SUM(BO15,BO28,BO32,BO35)</f>
        <v>0</v>
      </c>
      <c r="BP36" s="1240">
        <f>SUM(BP15,BP28,BP32,BP35)</f>
        <v>0</v>
      </c>
      <c r="BQ36" s="1240">
        <f>SUM(BQ15,BQ28,BQ32,BQ35)</f>
        <v>0</v>
      </c>
      <c r="BR36" s="1240">
        <f>SUM(BR15,BR28,BR32,BR35)</f>
        <v>0</v>
      </c>
      <c r="BS36" s="1240">
        <f>SUM(BS15,BS28,BS32,BS35)</f>
        <v>0</v>
      </c>
      <c r="BT36" s="1240">
        <f>SUM(BT15,BT28,BT32,BT35)</f>
        <v>0</v>
      </c>
      <c r="BU36" s="1240">
        <f>SUM(BU15,BU28,BU32,BU35)</f>
        <v>0</v>
      </c>
      <c r="BV36" s="2443"/>
      <c r="BW36" s="1240">
        <f>SUM(BX36:CG36)</f>
        <v>0</v>
      </c>
      <c r="BX36" s="1240">
        <f>SUM(BX15,BX28,BX32,BX35)</f>
        <v>0</v>
      </c>
      <c r="BY36" s="1240">
        <f>SUM(BY15,BY28,BY32,BY35)</f>
        <v>0</v>
      </c>
      <c r="BZ36" s="1240">
        <f>SUM(BZ15,BZ28,BZ32,BZ35)</f>
        <v>0</v>
      </c>
      <c r="CA36" s="1240">
        <f>SUM(CA15,CA28,CA32,CA35)</f>
        <v>0</v>
      </c>
      <c r="CB36" s="1240">
        <f>SUM(CB15,CB28,CB32,CB35)</f>
        <v>0</v>
      </c>
      <c r="CC36" s="1240">
        <f>SUM(CC15,CC28,CC32,CC35)</f>
        <v>0</v>
      </c>
      <c r="CD36" s="1240">
        <f>SUM(CD15,CD28,CD32,CD35)</f>
        <v>0</v>
      </c>
      <c r="CE36" s="1240">
        <f>SUM(CE15,CE28,CE32,CE35)</f>
        <v>0</v>
      </c>
      <c r="CF36" s="1240">
        <f>SUM(CF15,CF28,CF32,CF35)</f>
        <v>0</v>
      </c>
      <c r="CG36" s="2443"/>
      <c r="CH36" s="1240">
        <f>SUM(CI36:CQ36)</f>
        <v>0</v>
      </c>
      <c r="CI36" s="1240">
        <f>SUM(CI15,CI28,CI32,CI35)</f>
        <v>0</v>
      </c>
      <c r="CJ36" s="1240">
        <f>SUM(CJ15,CJ28,CJ32,CJ35)</f>
        <v>0</v>
      </c>
      <c r="CK36" s="1240">
        <f>SUM(CK15,CK28,CK32,CK35)</f>
        <v>0</v>
      </c>
      <c r="CL36" s="1240">
        <f>SUM(CL15,CL28,CL32,CL35)</f>
        <v>0</v>
      </c>
      <c r="CM36" s="1240">
        <f>SUM(CM15,CM28,CM32,CM35)</f>
        <v>0</v>
      </c>
      <c r="CN36" s="1240">
        <f>SUM(CN15,CN28,CN32,CN35)</f>
        <v>0</v>
      </c>
      <c r="CO36" s="1240">
        <f>SUM(CO15,CO28,CO32,CO35)</f>
        <v>0</v>
      </c>
      <c r="CP36" s="1240">
        <f>SUM(CP15,CP28,CP32,CP35)</f>
        <v>0</v>
      </c>
      <c r="CQ36" s="2443"/>
      <c r="CR36" s="1240">
        <f>SUM(CS36:CV36)</f>
        <v>0</v>
      </c>
      <c r="CS36" s="1240">
        <f>SUM(CS15,CS28,CS32,CS35)</f>
        <v>0</v>
      </c>
      <c r="CT36" s="1240">
        <f>SUM(CT15,CT28,CT32,CT35)</f>
        <v>0</v>
      </c>
      <c r="CU36" s="1240">
        <f>SUM(CU15,CU28,CU32,CU35)</f>
        <v>0</v>
      </c>
      <c r="CV36" s="2443"/>
      <c r="CW36" s="1240">
        <f>SUM(CX36:DE36)</f>
        <v>0</v>
      </c>
      <c r="CX36" s="1240">
        <f>SUM(CX15,CX28,CX32,CX35)</f>
        <v>0</v>
      </c>
      <c r="CY36" s="1240">
        <f>SUM(CY15,CY28,CY32,CY35)</f>
        <v>0</v>
      </c>
      <c r="CZ36" s="1240">
        <f>SUM(CZ15,CZ28,CZ32,CZ35)</f>
        <v>0</v>
      </c>
      <c r="DA36" s="1240">
        <f>SUM(DA15,DA28,DA32,DA35)</f>
        <v>0</v>
      </c>
      <c r="DB36" s="1240">
        <f>SUM(DB15,DB28,DB32,DB35)</f>
        <v>0</v>
      </c>
      <c r="DC36" s="1240">
        <f>SUM(DC15,DC28,DC32,DC35)</f>
        <v>0</v>
      </c>
      <c r="DD36" s="1240">
        <f>SUM(DD15,DD28,DD32,DD35)</f>
        <v>0</v>
      </c>
      <c r="DE36" s="2443"/>
      <c r="DF36" s="1238"/>
      <c r="DR36" s="1159">
        <v>11</v>
      </c>
    </row>
    <row customHeight="1" ht="29.25">
      <c r="F37" s="1235" t="s">
        <v>1385</v>
      </c>
      <c r="G37" s="2439" t="s">
        <v>1386</v>
      </c>
      <c r="H37" s="2439"/>
      <c r="I37" s="2439"/>
      <c r="J37" s="2439"/>
      <c r="K37" s="2439"/>
      <c r="L37" s="2439"/>
      <c r="M37" s="2439"/>
      <c r="N37" s="2439"/>
      <c r="O37" s="2439"/>
      <c r="P37" s="2439"/>
      <c r="Q37" s="2439"/>
      <c r="R37" s="2439"/>
      <c r="S37" s="2439"/>
      <c r="T37" s="2439"/>
      <c r="U37" s="2439"/>
      <c r="V37" s="2439"/>
      <c r="W37" s="2439"/>
      <c r="X37" s="2439"/>
      <c r="Y37" s="2439"/>
      <c r="Z37" s="2439"/>
      <c r="AA37" s="2439"/>
      <c r="AB37" s="2439"/>
      <c r="AC37" s="2439"/>
      <c r="AD37" s="2439"/>
      <c r="AE37" s="2439"/>
      <c r="AF37" s="2439"/>
      <c r="AG37" s="2439"/>
      <c r="AH37" s="2439"/>
      <c r="AI37" s="2439"/>
      <c r="AJ37" s="2439"/>
      <c r="AK37" s="2439"/>
      <c r="AL37" s="2439"/>
      <c r="AM37" s="2439"/>
      <c r="AN37" s="2439"/>
      <c r="AO37" s="2439"/>
      <c r="AP37" s="2439"/>
      <c r="AQ37" s="2439"/>
      <c r="AR37" s="2439"/>
      <c r="AS37" s="2439"/>
      <c r="AT37" s="2439"/>
      <c r="AU37" s="2439"/>
      <c r="AV37" s="2439"/>
      <c r="AW37" s="2439"/>
      <c r="AX37" s="2439"/>
      <c r="AY37" s="2439"/>
      <c r="AZ37" s="2439"/>
      <c r="BA37" s="2439"/>
      <c r="BB37" s="2439"/>
      <c r="BC37" s="2439"/>
      <c r="BD37" s="2439"/>
      <c r="BE37" s="2439"/>
      <c r="BF37" s="2439"/>
      <c r="BG37" s="2439"/>
      <c r="BH37" s="2439"/>
      <c r="BI37" s="2439"/>
      <c r="BJ37" s="2439"/>
      <c r="BK37" s="2439"/>
      <c r="BL37" s="2439"/>
      <c r="BM37" s="2439"/>
      <c r="BN37" s="2439"/>
      <c r="BO37" s="2439"/>
      <c r="BP37" s="2439"/>
      <c r="BQ37" s="2439"/>
      <c r="BR37" s="2439"/>
      <c r="BS37" s="2439"/>
      <c r="BT37" s="2439"/>
      <c r="BU37" s="2439"/>
      <c r="BV37" s="2439"/>
      <c r="BW37" s="2439"/>
      <c r="BX37" s="2439"/>
      <c r="BY37" s="2439"/>
      <c r="BZ37" s="2439"/>
      <c r="CA37" s="2439"/>
      <c r="CB37" s="2439"/>
      <c r="CC37" s="2439"/>
      <c r="CD37" s="2439"/>
      <c r="CE37" s="2439"/>
      <c r="CF37" s="2439"/>
      <c r="CG37" s="2439"/>
      <c r="CH37" s="2439"/>
      <c r="CI37" s="2439"/>
      <c r="CJ37" s="2439"/>
      <c r="CK37" s="2439"/>
      <c r="CL37" s="2439"/>
      <c r="CM37" s="2439"/>
      <c r="CN37" s="2439"/>
      <c r="CO37" s="2439"/>
      <c r="CP37" s="2439"/>
      <c r="CQ37" s="2439"/>
      <c r="CR37" s="2439"/>
      <c r="CS37" s="2439"/>
      <c r="CT37" s="2439"/>
      <c r="CU37" s="2439"/>
      <c r="CV37" s="2439"/>
      <c r="CW37" s="2439"/>
      <c r="CX37" s="2439"/>
      <c r="CY37" s="2439"/>
      <c r="CZ37" s="2439"/>
      <c r="DA37" s="2439"/>
      <c r="DB37" s="2439"/>
      <c r="DC37" s="2439"/>
      <c r="DD37" s="2439"/>
      <c r="DE37" s="2439"/>
      <c r="DF37" s="1238"/>
      <c r="DR37" s="1159">
        <v>28</v>
      </c>
    </row>
    <row customHeight="1" ht="24">
      <c r="F38" s="1234" t="s">
        <v>105</v>
      </c>
      <c r="G38" s="694" t="s">
        <v>1387</v>
      </c>
      <c r="H38" s="1240">
        <f>SUM(I38:J38)</f>
        <v>0</v>
      </c>
      <c r="I38" s="1240">
        <f>SUM(I39,I44,I47)</f>
        <v>0</v>
      </c>
      <c r="J38" s="1229"/>
      <c r="K38" s="1240">
        <f>SUM(L38:S38)</f>
        <v>0</v>
      </c>
      <c r="L38" s="1240">
        <f>SUM(L39,L44,L47)</f>
        <v>0</v>
      </c>
      <c r="M38" s="1240">
        <f>SUM(M39,M44,M47)</f>
        <v>0</v>
      </c>
      <c r="N38" s="1240">
        <f>SUM(N39,N44,N47)</f>
        <v>0</v>
      </c>
      <c r="O38" s="1240">
        <f>SUM(O39,O44,O47)</f>
        <v>0</v>
      </c>
      <c r="P38" s="1240">
        <f>SUM(P39,P44,P47)</f>
        <v>0</v>
      </c>
      <c r="Q38" s="1240">
        <f>SUM(Q39,Q44,Q47)</f>
        <v>0</v>
      </c>
      <c r="R38" s="1240">
        <f>SUM(R39,R44,R47)</f>
        <v>0</v>
      </c>
      <c r="S38" s="2443"/>
      <c r="T38" s="1240">
        <f>SUM(U38:AE38)</f>
        <v>0</v>
      </c>
      <c r="U38" s="1240">
        <f>SUM(U39,U44,U47)</f>
        <v>0</v>
      </c>
      <c r="V38" s="1240">
        <f>SUM(V39,V44,V47)</f>
        <v>0</v>
      </c>
      <c r="W38" s="1240">
        <f>SUM(W39,W44,W47)</f>
        <v>0</v>
      </c>
      <c r="X38" s="1240">
        <f>SUM(X39,X44,X47)</f>
        <v>0</v>
      </c>
      <c r="Y38" s="1240">
        <f>SUM(Y39,Y44,Y47)</f>
        <v>0</v>
      </c>
      <c r="Z38" s="1240">
        <f>SUM(Z39,Z44,Z47)</f>
        <v>0</v>
      </c>
      <c r="AA38" s="1240">
        <f>SUM(AA39,AA44,AA47)</f>
        <v>0</v>
      </c>
      <c r="AB38" s="1240">
        <f>SUM(AB39,AB44,AB47)</f>
        <v>0</v>
      </c>
      <c r="AC38" s="1240">
        <f>SUM(AC39,AC44,AC47)</f>
        <v>0</v>
      </c>
      <c r="AD38" s="1240">
        <f>SUM(AD39,AD44,AD47)</f>
        <v>0</v>
      </c>
      <c r="AE38" s="2443"/>
      <c r="AF38" s="1240">
        <f>SUM(AG38:AR38)</f>
        <v>0</v>
      </c>
      <c r="AG38" s="1240">
        <f>SUM(AG39,AG44,AG47)</f>
        <v>0</v>
      </c>
      <c r="AH38" s="1240">
        <f>SUM(AH39,AH44,AH47)</f>
        <v>0</v>
      </c>
      <c r="AI38" s="1240">
        <f>SUM(AI39,AI44,AI47)</f>
        <v>0</v>
      </c>
      <c r="AJ38" s="1240">
        <f>SUM(AJ39,AJ44,AJ47)</f>
        <v>0</v>
      </c>
      <c r="AK38" s="1240">
        <f>SUM(AK39,AK44,AK47)</f>
        <v>0</v>
      </c>
      <c r="AL38" s="1240">
        <f>SUM(AL39,AL44,AL47)</f>
        <v>0</v>
      </c>
      <c r="AM38" s="1240">
        <f>SUM(AM39,AM44,AM47)</f>
        <v>0</v>
      </c>
      <c r="AN38" s="1240">
        <f>SUM(AN39,AN44,AN47)</f>
        <v>0</v>
      </c>
      <c r="AO38" s="1240">
        <f>SUM(AO39,AO44,AO47)</f>
        <v>0</v>
      </c>
      <c r="AP38" s="1240">
        <f>SUM(AP39,AP44,AP47)</f>
        <v>0</v>
      </c>
      <c r="AQ38" s="1240">
        <f>SUM(AQ39,AQ44,AQ47)</f>
        <v>0</v>
      </c>
      <c r="AR38" s="2443"/>
      <c r="AS38" s="1240">
        <f>SUM(AT38:BB38)</f>
        <v>0</v>
      </c>
      <c r="AT38" s="1240">
        <f>SUM(AT39,AT44,AT47)</f>
        <v>0</v>
      </c>
      <c r="AU38" s="1240">
        <f>SUM(AU39,AU44,AU47)</f>
        <v>0</v>
      </c>
      <c r="AV38" s="1240">
        <f>SUM(AV39,AV44,AV47)</f>
        <v>0</v>
      </c>
      <c r="AW38" s="1240">
        <f>SUM(AW39,AW44,AW47)</f>
        <v>0</v>
      </c>
      <c r="AX38" s="1240">
        <f>SUM(AX39,AX44,AX47)</f>
        <v>0</v>
      </c>
      <c r="AY38" s="1240">
        <f>SUM(AY39,AY44,AY47)</f>
        <v>0</v>
      </c>
      <c r="AZ38" s="1240">
        <f>SUM(AZ39,AZ44,AZ47)</f>
        <v>0</v>
      </c>
      <c r="BA38" s="1240">
        <f>SUM(BA39,BA44,BA47)</f>
        <v>0</v>
      </c>
      <c r="BB38" s="2443"/>
      <c r="BC38" s="1240">
        <f>SUM(BD38:BL38)</f>
        <v>0</v>
      </c>
      <c r="BD38" s="1240">
        <f>SUM(BD39,BD44,BD47)</f>
        <v>0</v>
      </c>
      <c r="BE38" s="1240">
        <f>SUM(BE39,BE44,BE47)</f>
        <v>0</v>
      </c>
      <c r="BF38" s="1240">
        <f>SUM(BF39,BF44,BF47)</f>
        <v>0</v>
      </c>
      <c r="BG38" s="1240">
        <f>SUM(BG39,BG44,BG47)</f>
        <v>0</v>
      </c>
      <c r="BH38" s="1240">
        <f>SUM(BH39,BH44,BH47)</f>
        <v>0</v>
      </c>
      <c r="BI38" s="1240">
        <f>SUM(BI39,BI44,BI47)</f>
        <v>0</v>
      </c>
      <c r="BJ38" s="1240">
        <f>SUM(BJ39,BJ44,BJ47)</f>
        <v>0</v>
      </c>
      <c r="BK38" s="1240">
        <f>SUM(BK39,BK44,BK47)</f>
        <v>0</v>
      </c>
      <c r="BL38" s="2443"/>
      <c r="BM38" s="1240">
        <f>SUM(BN38:BV38)</f>
        <v>0</v>
      </c>
      <c r="BN38" s="1240">
        <f>SUM(BN39,BN44,BN47)</f>
        <v>0</v>
      </c>
      <c r="BO38" s="1240">
        <f>SUM(BO39,BO44,BO47)</f>
        <v>0</v>
      </c>
      <c r="BP38" s="1240">
        <f>SUM(BP39,BP44,BP47)</f>
        <v>0</v>
      </c>
      <c r="BQ38" s="1240">
        <f>SUM(BQ39,BQ44,BQ47)</f>
        <v>0</v>
      </c>
      <c r="BR38" s="1240">
        <f>SUM(BR39,BR44,BR47)</f>
        <v>0</v>
      </c>
      <c r="BS38" s="1240">
        <f>SUM(BS39,BS44,BS47)</f>
        <v>0</v>
      </c>
      <c r="BT38" s="1240">
        <f>SUM(BT39,BT44,BT47)</f>
        <v>0</v>
      </c>
      <c r="BU38" s="1240">
        <f>SUM(BU39,BU44,BU47)</f>
        <v>0</v>
      </c>
      <c r="BV38" s="2443"/>
      <c r="BW38" s="1240">
        <f>SUM(BX38:CG38)</f>
        <v>0</v>
      </c>
      <c r="BX38" s="1240">
        <f>SUM(BX39,BX44,BX47)</f>
        <v>0</v>
      </c>
      <c r="BY38" s="1240">
        <f>SUM(BY39,BY44,BY47)</f>
        <v>0</v>
      </c>
      <c r="BZ38" s="1240">
        <f>SUM(BZ39,BZ44,BZ47)</f>
        <v>0</v>
      </c>
      <c r="CA38" s="1240">
        <f>SUM(CA39,CA44,CA47)</f>
        <v>0</v>
      </c>
      <c r="CB38" s="1240">
        <f>SUM(CB39,CB44,CB47)</f>
        <v>0</v>
      </c>
      <c r="CC38" s="1240">
        <f>SUM(CC39,CC44,CC47)</f>
        <v>0</v>
      </c>
      <c r="CD38" s="1240">
        <f>SUM(CD39,CD44,CD47)</f>
        <v>0</v>
      </c>
      <c r="CE38" s="1240">
        <f>SUM(CE39,CE44,CE47)</f>
        <v>0</v>
      </c>
      <c r="CF38" s="1240">
        <f>SUM(CF39,CF44,CF47)</f>
        <v>0</v>
      </c>
      <c r="CG38" s="2443"/>
      <c r="CH38" s="1240">
        <f>SUM(CI38:CQ38)</f>
        <v>0</v>
      </c>
      <c r="CI38" s="1240">
        <f>SUM(CI39,CI44,CI47)</f>
        <v>0</v>
      </c>
      <c r="CJ38" s="1240">
        <f>SUM(CJ39,CJ44,CJ47)</f>
        <v>0</v>
      </c>
      <c r="CK38" s="1240">
        <f>SUM(CK39,CK44,CK47)</f>
        <v>0</v>
      </c>
      <c r="CL38" s="1240">
        <f>SUM(CL39,CL44,CL47)</f>
        <v>0</v>
      </c>
      <c r="CM38" s="1240">
        <f>SUM(CM39,CM44,CM47)</f>
        <v>0</v>
      </c>
      <c r="CN38" s="1240">
        <f>SUM(CN39,CN44,CN47)</f>
        <v>0</v>
      </c>
      <c r="CO38" s="1240">
        <f>SUM(CO39,CO44,CO47)</f>
        <v>0</v>
      </c>
      <c r="CP38" s="1240">
        <f>SUM(CP39,CP44,CP47)</f>
        <v>0</v>
      </c>
      <c r="CQ38" s="2443"/>
      <c r="CR38" s="1240">
        <f>SUM(CS38:CV38)</f>
        <v>0</v>
      </c>
      <c r="CS38" s="1240">
        <f>SUM(CS39,CS44,CS47)</f>
        <v>0</v>
      </c>
      <c r="CT38" s="1240">
        <f>SUM(CT39,CT44,CT47)</f>
        <v>0</v>
      </c>
      <c r="CU38" s="1240">
        <f>SUM(CU39,CU44,CU47)</f>
        <v>0</v>
      </c>
      <c r="CV38" s="2443"/>
      <c r="CW38" s="1240">
        <f>SUM(CX38:DE38)</f>
        <v>0</v>
      </c>
      <c r="CX38" s="1240">
        <f>SUM(CX39,CX44,CX47)</f>
        <v>0</v>
      </c>
      <c r="CY38" s="1240">
        <f>SUM(CY39,CY44,CY47)</f>
        <v>0</v>
      </c>
      <c r="CZ38" s="1240">
        <f>SUM(CZ39,CZ44,CZ47)</f>
        <v>0</v>
      </c>
      <c r="DA38" s="1240">
        <f>SUM(DA39,DA44,DA47)</f>
        <v>0</v>
      </c>
      <c r="DB38" s="1240">
        <f>SUM(DB39,DB44,DB47)</f>
        <v>0</v>
      </c>
      <c r="DC38" s="1240">
        <f>SUM(DC39,DC44,DC47)</f>
        <v>0</v>
      </c>
      <c r="DD38" s="1240">
        <f>SUM(DD39,DD44,DD47)</f>
        <v>0</v>
      </c>
      <c r="DE38" s="2443"/>
      <c r="DF38" s="1238"/>
      <c r="DR38" s="1159">
        <v>23</v>
      </c>
    </row>
    <row customHeight="1" ht="11.549999999999999">
      <c r="F39" s="1234" t="s">
        <v>1352</v>
      </c>
      <c r="G39" s="1241" t="s">
        <v>1351</v>
      </c>
      <c r="H39" s="1240">
        <f>SUM(I39:J39)</f>
        <v>0</v>
      </c>
      <c r="I39" s="1240">
        <f>SUM(I40:I43)</f>
        <v>0</v>
      </c>
      <c r="J39" s="1229"/>
      <c r="K39" s="1240">
        <f>SUM(L39:S39)</f>
        <v>0</v>
      </c>
      <c r="L39" s="1240">
        <f>SUM(L40:L43)</f>
        <v>0</v>
      </c>
      <c r="M39" s="1240">
        <f>SUM(M40:M43)</f>
        <v>0</v>
      </c>
      <c r="N39" s="1240">
        <f>SUM(N40:N43)</f>
        <v>0</v>
      </c>
      <c r="O39" s="1240">
        <f>SUM(O40:O43)</f>
        <v>0</v>
      </c>
      <c r="P39" s="1240">
        <f>SUM(P40:P43)</f>
        <v>0</v>
      </c>
      <c r="Q39" s="1240">
        <f>SUM(Q40:Q43)</f>
        <v>0</v>
      </c>
      <c r="R39" s="1240">
        <f>SUM(R40:R43)</f>
        <v>0</v>
      </c>
      <c r="S39" s="2443"/>
      <c r="T39" s="1240">
        <f>SUM(U39:AE39)</f>
        <v>0</v>
      </c>
      <c r="U39" s="1240">
        <f>SUM(U40:U43)</f>
        <v>0</v>
      </c>
      <c r="V39" s="1240">
        <f>SUM(V40:V43)</f>
        <v>0</v>
      </c>
      <c r="W39" s="1240">
        <f>SUM(W40:W43)</f>
        <v>0</v>
      </c>
      <c r="X39" s="1240">
        <f>SUM(X40:X43)</f>
        <v>0</v>
      </c>
      <c r="Y39" s="1240">
        <f>SUM(Y40:Y43)</f>
        <v>0</v>
      </c>
      <c r="Z39" s="1240">
        <f>SUM(Z40:Z43)</f>
        <v>0</v>
      </c>
      <c r="AA39" s="1240">
        <f>SUM(AA40:AA43)</f>
        <v>0</v>
      </c>
      <c r="AB39" s="1240">
        <f>SUM(AB40:AB43)</f>
        <v>0</v>
      </c>
      <c r="AC39" s="1240">
        <f>SUM(AC40:AC43)</f>
        <v>0</v>
      </c>
      <c r="AD39" s="1240">
        <f>SUM(AD40:AD43)</f>
        <v>0</v>
      </c>
      <c r="AE39" s="2443"/>
      <c r="AF39" s="1240">
        <f>SUM(AG39:AR39)</f>
        <v>0</v>
      </c>
      <c r="AG39" s="1240">
        <f>SUM(AG40:AG43)</f>
        <v>0</v>
      </c>
      <c r="AH39" s="1240">
        <f>SUM(AH40:AH43)</f>
        <v>0</v>
      </c>
      <c r="AI39" s="1240">
        <f>SUM(AI40:AI43)</f>
        <v>0</v>
      </c>
      <c r="AJ39" s="1240">
        <f>SUM(AJ40:AJ43)</f>
        <v>0</v>
      </c>
      <c r="AK39" s="1240">
        <f>SUM(AK40:AK43)</f>
        <v>0</v>
      </c>
      <c r="AL39" s="1240">
        <f>SUM(AL40:AL43)</f>
        <v>0</v>
      </c>
      <c r="AM39" s="1240">
        <f>SUM(AM40:AM43)</f>
        <v>0</v>
      </c>
      <c r="AN39" s="1240">
        <f>SUM(AN40:AN43)</f>
        <v>0</v>
      </c>
      <c r="AO39" s="1240">
        <f>SUM(AO40:AO43)</f>
        <v>0</v>
      </c>
      <c r="AP39" s="1240">
        <f>SUM(AP40:AP43)</f>
        <v>0</v>
      </c>
      <c r="AQ39" s="1240">
        <f>SUM(AQ40:AQ43)</f>
        <v>0</v>
      </c>
      <c r="AR39" s="2443"/>
      <c r="AS39" s="1240">
        <f>SUM(AT39:BB39)</f>
        <v>0</v>
      </c>
      <c r="AT39" s="1240">
        <f>SUM(AT40:AT43)</f>
        <v>0</v>
      </c>
      <c r="AU39" s="1240">
        <f>SUM(AU40:AU43)</f>
        <v>0</v>
      </c>
      <c r="AV39" s="1240">
        <f>SUM(AV40:AV43)</f>
        <v>0</v>
      </c>
      <c r="AW39" s="1240">
        <f>SUM(AW40:AW43)</f>
        <v>0</v>
      </c>
      <c r="AX39" s="1240">
        <f>SUM(AX40:AX43)</f>
        <v>0</v>
      </c>
      <c r="AY39" s="1240">
        <f>SUM(AY40:AY43)</f>
        <v>0</v>
      </c>
      <c r="AZ39" s="1240">
        <f>SUM(AZ40:AZ43)</f>
        <v>0</v>
      </c>
      <c r="BA39" s="1240">
        <f>SUM(BA40:BA43)</f>
        <v>0</v>
      </c>
      <c r="BB39" s="2443"/>
      <c r="BC39" s="1240">
        <f>SUM(BD39:BL39)</f>
        <v>0</v>
      </c>
      <c r="BD39" s="1240">
        <f>SUM(BD40:BD43)</f>
        <v>0</v>
      </c>
      <c r="BE39" s="1240">
        <f>SUM(BE40:BE43)</f>
        <v>0</v>
      </c>
      <c r="BF39" s="1240">
        <f>SUM(BF40:BF43)</f>
        <v>0</v>
      </c>
      <c r="BG39" s="1240">
        <f>SUM(BG40:BG43)</f>
        <v>0</v>
      </c>
      <c r="BH39" s="1240">
        <f>SUM(BH40:BH43)</f>
        <v>0</v>
      </c>
      <c r="BI39" s="1240">
        <f>SUM(BI40:BI43)</f>
        <v>0</v>
      </c>
      <c r="BJ39" s="1240">
        <f>SUM(BJ40:BJ43)</f>
        <v>0</v>
      </c>
      <c r="BK39" s="1240">
        <f>SUM(BK40:BK43)</f>
        <v>0</v>
      </c>
      <c r="BL39" s="2443"/>
      <c r="BM39" s="1240">
        <f>SUM(BN39:BV39)</f>
        <v>0</v>
      </c>
      <c r="BN39" s="1240">
        <f>SUM(BN40:BN43)</f>
        <v>0</v>
      </c>
      <c r="BO39" s="1240">
        <f>SUM(BO40:BO43)</f>
        <v>0</v>
      </c>
      <c r="BP39" s="1240">
        <f>SUM(BP40:BP43)</f>
        <v>0</v>
      </c>
      <c r="BQ39" s="1240">
        <f>SUM(BQ40:BQ43)</f>
        <v>0</v>
      </c>
      <c r="BR39" s="1240">
        <f>SUM(BR40:BR43)</f>
        <v>0</v>
      </c>
      <c r="BS39" s="1240">
        <f>SUM(BS40:BS43)</f>
        <v>0</v>
      </c>
      <c r="BT39" s="1240">
        <f>SUM(BT40:BT43)</f>
        <v>0</v>
      </c>
      <c r="BU39" s="1240">
        <f>SUM(BU40:BU43)</f>
        <v>0</v>
      </c>
      <c r="BV39" s="2443"/>
      <c r="BW39" s="1240">
        <f>SUM(BX39:CG39)</f>
        <v>0</v>
      </c>
      <c r="BX39" s="1240">
        <f>SUM(BX40:BX43)</f>
        <v>0</v>
      </c>
      <c r="BY39" s="1240">
        <f>SUM(BY40:BY43)</f>
        <v>0</v>
      </c>
      <c r="BZ39" s="1240">
        <f>SUM(BZ40:BZ43)</f>
        <v>0</v>
      </c>
      <c r="CA39" s="1240">
        <f>SUM(CA40:CA43)</f>
        <v>0</v>
      </c>
      <c r="CB39" s="1240">
        <f>SUM(CB40:CB43)</f>
        <v>0</v>
      </c>
      <c r="CC39" s="1240">
        <f>SUM(CC40:CC43)</f>
        <v>0</v>
      </c>
      <c r="CD39" s="1240">
        <f>SUM(CD40:CD43)</f>
        <v>0</v>
      </c>
      <c r="CE39" s="1240">
        <f>SUM(CE40:CE43)</f>
        <v>0</v>
      </c>
      <c r="CF39" s="1240">
        <f>SUM(CF40:CF43)</f>
        <v>0</v>
      </c>
      <c r="CG39" s="2443"/>
      <c r="CH39" s="1240">
        <f>SUM(CI39:CQ39)</f>
        <v>0</v>
      </c>
      <c r="CI39" s="1240">
        <f>SUM(CI40:CI43)</f>
        <v>0</v>
      </c>
      <c r="CJ39" s="1240">
        <f>SUM(CJ40:CJ43)</f>
        <v>0</v>
      </c>
      <c r="CK39" s="1240">
        <f>SUM(CK40:CK43)</f>
        <v>0</v>
      </c>
      <c r="CL39" s="1240">
        <f>SUM(CL40:CL43)</f>
        <v>0</v>
      </c>
      <c r="CM39" s="1240">
        <f>SUM(CM40:CM43)</f>
        <v>0</v>
      </c>
      <c r="CN39" s="1240">
        <f>SUM(CN40:CN43)</f>
        <v>0</v>
      </c>
      <c r="CO39" s="1240">
        <f>SUM(CO40:CO43)</f>
        <v>0</v>
      </c>
      <c r="CP39" s="1240">
        <f>SUM(CP40:CP43)</f>
        <v>0</v>
      </c>
      <c r="CQ39" s="2443"/>
      <c r="CR39" s="1240">
        <f>SUM(CS39:CV39)</f>
        <v>0</v>
      </c>
      <c r="CS39" s="1240">
        <f>SUM(CS40:CS43)</f>
        <v>0</v>
      </c>
      <c r="CT39" s="1240">
        <f>SUM(CT40:CT43)</f>
        <v>0</v>
      </c>
      <c r="CU39" s="1240">
        <f>SUM(CU40:CU43)</f>
        <v>0</v>
      </c>
      <c r="CV39" s="2443"/>
      <c r="CW39" s="1240">
        <f>SUM(CX39:DE39)</f>
        <v>0</v>
      </c>
      <c r="CX39" s="1240">
        <f>SUM(CX40:CX43)</f>
        <v>0</v>
      </c>
      <c r="CY39" s="1240">
        <f>SUM(CY40:CY43)</f>
        <v>0</v>
      </c>
      <c r="CZ39" s="1240">
        <f>SUM(CZ40:CZ43)</f>
        <v>0</v>
      </c>
      <c r="DA39" s="1240">
        <f>SUM(DA40:DA43)</f>
        <v>0</v>
      </c>
      <c r="DB39" s="1240">
        <f>SUM(DB40:DB43)</f>
        <v>0</v>
      </c>
      <c r="DC39" s="1240">
        <f>SUM(DC40:DC43)</f>
        <v>0</v>
      </c>
      <c r="DD39" s="1240">
        <f>SUM(DD40:DD43)</f>
        <v>0</v>
      </c>
      <c r="DE39" s="2443"/>
      <c r="DF39" s="1238"/>
      <c r="DR39" s="1159">
        <v>11</v>
      </c>
    </row>
    <row customHeight="1" ht="24">
      <c r="F40" s="1234" t="s">
        <v>1388</v>
      </c>
      <c r="G40" s="1242" t="s">
        <v>1389</v>
      </c>
      <c r="H40" s="1240">
        <f>SUM(I40:J40)</f>
        <v>0</v>
      </c>
      <c r="I40" s="1239"/>
      <c r="J40" s="1229"/>
      <c r="K40" s="1240">
        <f>SUM(L40:S40)</f>
        <v>0</v>
      </c>
      <c r="L40" s="1239"/>
      <c r="M40" s="1239"/>
      <c r="N40" s="1239"/>
      <c r="O40" s="1239"/>
      <c r="P40" s="1239"/>
      <c r="Q40" s="1239"/>
      <c r="R40" s="1239"/>
      <c r="S40" s="2443"/>
      <c r="T40" s="1240">
        <f>SUM(U40:AE40)</f>
        <v>0</v>
      </c>
      <c r="U40" s="1239"/>
      <c r="V40" s="1239"/>
      <c r="W40" s="1239"/>
      <c r="X40" s="1239"/>
      <c r="Y40" s="1239"/>
      <c r="Z40" s="1239"/>
      <c r="AA40" s="1239"/>
      <c r="AB40" s="1239"/>
      <c r="AC40" s="1239"/>
      <c r="AD40" s="1239"/>
      <c r="AE40" s="2443"/>
      <c r="AF40" s="1240">
        <f>SUM(AG40:AR40)</f>
        <v>0</v>
      </c>
      <c r="AG40" s="1239"/>
      <c r="AH40" s="1239"/>
      <c r="AI40" s="1239"/>
      <c r="AJ40" s="1239"/>
      <c r="AK40" s="1239"/>
      <c r="AL40" s="1239"/>
      <c r="AM40" s="1239"/>
      <c r="AN40" s="1239"/>
      <c r="AO40" s="1239"/>
      <c r="AP40" s="1239"/>
      <c r="AQ40" s="1239"/>
      <c r="AR40" s="2443"/>
      <c r="AS40" s="1240">
        <f>SUM(AT40:BB40)</f>
        <v>0</v>
      </c>
      <c r="AT40" s="1239"/>
      <c r="AU40" s="1239"/>
      <c r="AV40" s="1239"/>
      <c r="AW40" s="1239"/>
      <c r="AX40" s="1239"/>
      <c r="AY40" s="1239"/>
      <c r="AZ40" s="1239"/>
      <c r="BA40" s="1239"/>
      <c r="BB40" s="2443"/>
      <c r="BC40" s="1240">
        <f>SUM(BD40:BL40)</f>
        <v>0</v>
      </c>
      <c r="BD40" s="1239"/>
      <c r="BE40" s="1239"/>
      <c r="BF40" s="1239"/>
      <c r="BG40" s="1239"/>
      <c r="BH40" s="1239"/>
      <c r="BI40" s="1239"/>
      <c r="BJ40" s="1239"/>
      <c r="BK40" s="1239"/>
      <c r="BL40" s="2443"/>
      <c r="BM40" s="1240">
        <f>SUM(BN40:BV40)</f>
        <v>0</v>
      </c>
      <c r="BN40" s="1239"/>
      <c r="BO40" s="1239"/>
      <c r="BP40" s="1239"/>
      <c r="BQ40" s="1239"/>
      <c r="BR40" s="1239"/>
      <c r="BS40" s="1239"/>
      <c r="BT40" s="1239"/>
      <c r="BU40" s="1239"/>
      <c r="BV40" s="2443"/>
      <c r="BW40" s="1240">
        <f>SUM(BX40:CG40)</f>
        <v>0</v>
      </c>
      <c r="BX40" s="1239"/>
      <c r="BY40" s="1239"/>
      <c r="BZ40" s="1239"/>
      <c r="CA40" s="1239"/>
      <c r="CB40" s="1239"/>
      <c r="CC40" s="1239"/>
      <c r="CD40" s="1239"/>
      <c r="CE40" s="1239"/>
      <c r="CF40" s="1239"/>
      <c r="CG40" s="2443"/>
      <c r="CH40" s="1240">
        <f>SUM(CI40:CQ40)</f>
        <v>0</v>
      </c>
      <c r="CI40" s="1239"/>
      <c r="CJ40" s="1239"/>
      <c r="CK40" s="1239"/>
      <c r="CL40" s="1239"/>
      <c r="CM40" s="1239"/>
      <c r="CN40" s="1239"/>
      <c r="CO40" s="1239"/>
      <c r="CP40" s="1239"/>
      <c r="CQ40" s="2443"/>
      <c r="CR40" s="1240">
        <f>SUM(CS40:CV40)</f>
        <v>0</v>
      </c>
      <c r="CS40" s="1239"/>
      <c r="CT40" s="1239"/>
      <c r="CU40" s="1239"/>
      <c r="CV40" s="2443"/>
      <c r="CW40" s="1240">
        <f>SUM(CX40:DE40)</f>
        <v>0</v>
      </c>
      <c r="CX40" s="1239"/>
      <c r="CY40" s="1239"/>
      <c r="CZ40" s="1239"/>
      <c r="DA40" s="1239"/>
      <c r="DB40" s="1239"/>
      <c r="DC40" s="1239"/>
      <c r="DD40" s="1239"/>
      <c r="DE40" s="2443"/>
      <c r="DF40" s="1238"/>
      <c r="DR40" s="1159">
        <v>23</v>
      </c>
    </row>
    <row customHeight="1" ht="11.549999999999999">
      <c r="F41" s="1234" t="s">
        <v>1390</v>
      </c>
      <c r="G41" s="1242" t="s">
        <v>1391</v>
      </c>
      <c r="H41" s="1240">
        <f>SUM(I41:J41)</f>
        <v>0</v>
      </c>
      <c r="I41" s="1239"/>
      <c r="J41" s="1229"/>
      <c r="K41" s="1240">
        <f>SUM(L41:S41)</f>
        <v>0</v>
      </c>
      <c r="L41" s="1239"/>
      <c r="M41" s="1239"/>
      <c r="N41" s="1239"/>
      <c r="O41" s="1239"/>
      <c r="P41" s="1239"/>
      <c r="Q41" s="1239"/>
      <c r="R41" s="1239"/>
      <c r="S41" s="2443"/>
      <c r="T41" s="1240">
        <f>SUM(U41:AE41)</f>
        <v>0</v>
      </c>
      <c r="U41" s="1239"/>
      <c r="V41" s="1239"/>
      <c r="W41" s="1239"/>
      <c r="X41" s="1239"/>
      <c r="Y41" s="1239"/>
      <c r="Z41" s="1239"/>
      <c r="AA41" s="1239"/>
      <c r="AB41" s="1239"/>
      <c r="AC41" s="1239"/>
      <c r="AD41" s="1239"/>
      <c r="AE41" s="2443"/>
      <c r="AF41" s="1240">
        <f>SUM(AG41:AR41)</f>
        <v>0</v>
      </c>
      <c r="AG41" s="1239"/>
      <c r="AH41" s="1239"/>
      <c r="AI41" s="1239"/>
      <c r="AJ41" s="1239"/>
      <c r="AK41" s="1239"/>
      <c r="AL41" s="1239"/>
      <c r="AM41" s="1239"/>
      <c r="AN41" s="1239"/>
      <c r="AO41" s="1239"/>
      <c r="AP41" s="1239"/>
      <c r="AQ41" s="1239"/>
      <c r="AR41" s="2443"/>
      <c r="AS41" s="1240">
        <f>SUM(AT41:BB41)</f>
        <v>0</v>
      </c>
      <c r="AT41" s="1239"/>
      <c r="AU41" s="1239"/>
      <c r="AV41" s="1239"/>
      <c r="AW41" s="1239"/>
      <c r="AX41" s="1239"/>
      <c r="AY41" s="1239"/>
      <c r="AZ41" s="1239"/>
      <c r="BA41" s="1239"/>
      <c r="BB41" s="2443"/>
      <c r="BC41" s="1240">
        <f>SUM(BD41:BL41)</f>
        <v>0</v>
      </c>
      <c r="BD41" s="1239"/>
      <c r="BE41" s="1239"/>
      <c r="BF41" s="1239"/>
      <c r="BG41" s="1239"/>
      <c r="BH41" s="1239"/>
      <c r="BI41" s="1239"/>
      <c r="BJ41" s="1239"/>
      <c r="BK41" s="1239"/>
      <c r="BL41" s="2443"/>
      <c r="BM41" s="1240">
        <f>SUM(BN41:BV41)</f>
        <v>0</v>
      </c>
      <c r="BN41" s="1239"/>
      <c r="BO41" s="1239"/>
      <c r="BP41" s="1239"/>
      <c r="BQ41" s="1239"/>
      <c r="BR41" s="1239"/>
      <c r="BS41" s="1239"/>
      <c r="BT41" s="1239"/>
      <c r="BU41" s="1239"/>
      <c r="BV41" s="2443"/>
      <c r="BW41" s="1240">
        <f>SUM(BX41:CG41)</f>
        <v>0</v>
      </c>
      <c r="BX41" s="1239"/>
      <c r="BY41" s="1239"/>
      <c r="BZ41" s="1239"/>
      <c r="CA41" s="1239"/>
      <c r="CB41" s="1239"/>
      <c r="CC41" s="1239"/>
      <c r="CD41" s="1239"/>
      <c r="CE41" s="1239"/>
      <c r="CF41" s="1239"/>
      <c r="CG41" s="2443"/>
      <c r="CH41" s="1240">
        <f>SUM(CI41:CQ41)</f>
        <v>0</v>
      </c>
      <c r="CI41" s="1239"/>
      <c r="CJ41" s="1239"/>
      <c r="CK41" s="1239"/>
      <c r="CL41" s="1239"/>
      <c r="CM41" s="1239"/>
      <c r="CN41" s="1239"/>
      <c r="CO41" s="1239"/>
      <c r="CP41" s="1239"/>
      <c r="CQ41" s="2443"/>
      <c r="CR41" s="1240">
        <f>SUM(CS41:CV41)</f>
        <v>0</v>
      </c>
      <c r="CS41" s="1239"/>
      <c r="CT41" s="1239"/>
      <c r="CU41" s="1239"/>
      <c r="CV41" s="2443"/>
      <c r="CW41" s="1240">
        <f>SUM(CX41:DE41)</f>
        <v>0</v>
      </c>
      <c r="CX41" s="1239"/>
      <c r="CY41" s="1239"/>
      <c r="CZ41" s="1239"/>
      <c r="DA41" s="1239"/>
      <c r="DB41" s="1239"/>
      <c r="DC41" s="1239"/>
      <c r="DD41" s="1239"/>
      <c r="DE41" s="2443"/>
      <c r="DF41" s="1238"/>
      <c r="DR41" s="1159">
        <v>11</v>
      </c>
    </row>
    <row customHeight="1" ht="11.549999999999999">
      <c r="F42" s="1234" t="s">
        <v>1392</v>
      </c>
      <c r="G42" s="1242" t="s">
        <v>1393</v>
      </c>
      <c r="H42" s="1240">
        <f>SUM(I42:J42)</f>
        <v>0</v>
      </c>
      <c r="I42" s="1239"/>
      <c r="J42" s="1229"/>
      <c r="K42" s="1240">
        <f>SUM(L42:S42)</f>
        <v>0</v>
      </c>
      <c r="L42" s="1239"/>
      <c r="M42" s="1239"/>
      <c r="N42" s="1239"/>
      <c r="O42" s="1239"/>
      <c r="P42" s="1239"/>
      <c r="Q42" s="1239"/>
      <c r="R42" s="1239"/>
      <c r="S42" s="2443"/>
      <c r="T42" s="1240">
        <f>SUM(U42:AE42)</f>
        <v>0</v>
      </c>
      <c r="U42" s="1239"/>
      <c r="V42" s="1239"/>
      <c r="W42" s="1239"/>
      <c r="X42" s="1239"/>
      <c r="Y42" s="1239"/>
      <c r="Z42" s="1239"/>
      <c r="AA42" s="1239"/>
      <c r="AB42" s="1239"/>
      <c r="AC42" s="1239"/>
      <c r="AD42" s="1239"/>
      <c r="AE42" s="2443"/>
      <c r="AF42" s="1240">
        <f>SUM(AG42:AR42)</f>
        <v>0</v>
      </c>
      <c r="AG42" s="1239"/>
      <c r="AH42" s="1239"/>
      <c r="AI42" s="1239"/>
      <c r="AJ42" s="1239"/>
      <c r="AK42" s="1239"/>
      <c r="AL42" s="1239"/>
      <c r="AM42" s="1239"/>
      <c r="AN42" s="1239"/>
      <c r="AO42" s="1239"/>
      <c r="AP42" s="1239"/>
      <c r="AQ42" s="1239"/>
      <c r="AR42" s="2443"/>
      <c r="AS42" s="1240">
        <f>SUM(AT42:BB42)</f>
        <v>0</v>
      </c>
      <c r="AT42" s="1239"/>
      <c r="AU42" s="1239"/>
      <c r="AV42" s="1239"/>
      <c r="AW42" s="1239"/>
      <c r="AX42" s="1239"/>
      <c r="AY42" s="1239"/>
      <c r="AZ42" s="1239"/>
      <c r="BA42" s="1239"/>
      <c r="BB42" s="2443"/>
      <c r="BC42" s="1240">
        <f>SUM(BD42:BL42)</f>
        <v>0</v>
      </c>
      <c r="BD42" s="1239"/>
      <c r="BE42" s="1239"/>
      <c r="BF42" s="1239"/>
      <c r="BG42" s="1239"/>
      <c r="BH42" s="1239"/>
      <c r="BI42" s="1239"/>
      <c r="BJ42" s="1239"/>
      <c r="BK42" s="1239"/>
      <c r="BL42" s="2443"/>
      <c r="BM42" s="1240">
        <f>SUM(BN42:BV42)</f>
        <v>0</v>
      </c>
      <c r="BN42" s="1239"/>
      <c r="BO42" s="1239"/>
      <c r="BP42" s="1239"/>
      <c r="BQ42" s="1239"/>
      <c r="BR42" s="1239"/>
      <c r="BS42" s="1239"/>
      <c r="BT42" s="1239"/>
      <c r="BU42" s="1239"/>
      <c r="BV42" s="2443"/>
      <c r="BW42" s="1240">
        <f>SUM(BX42:CG42)</f>
        <v>0</v>
      </c>
      <c r="BX42" s="1239"/>
      <c r="BY42" s="1239"/>
      <c r="BZ42" s="1239"/>
      <c r="CA42" s="1239"/>
      <c r="CB42" s="1239"/>
      <c r="CC42" s="1239"/>
      <c r="CD42" s="1239"/>
      <c r="CE42" s="1239"/>
      <c r="CF42" s="1239"/>
      <c r="CG42" s="2443"/>
      <c r="CH42" s="1240">
        <f>SUM(CI42:CQ42)</f>
        <v>0</v>
      </c>
      <c r="CI42" s="1239"/>
      <c r="CJ42" s="1239"/>
      <c r="CK42" s="1239"/>
      <c r="CL42" s="1239"/>
      <c r="CM42" s="1239"/>
      <c r="CN42" s="1239"/>
      <c r="CO42" s="1239"/>
      <c r="CP42" s="1239"/>
      <c r="CQ42" s="2443"/>
      <c r="CR42" s="1240">
        <f>SUM(CS42:CV42)</f>
        <v>0</v>
      </c>
      <c r="CS42" s="1239"/>
      <c r="CT42" s="1239"/>
      <c r="CU42" s="1239"/>
      <c r="CV42" s="2443"/>
      <c r="CW42" s="1240">
        <f>SUM(CX42:DE42)</f>
        <v>0</v>
      </c>
      <c r="CX42" s="1239"/>
      <c r="CY42" s="1239"/>
      <c r="CZ42" s="1239"/>
      <c r="DA42" s="1239"/>
      <c r="DB42" s="1239"/>
      <c r="DC42" s="1239"/>
      <c r="DD42" s="1239"/>
      <c r="DE42" s="2443"/>
      <c r="DF42" s="1238"/>
      <c r="DR42" s="1159">
        <v>11</v>
      </c>
    </row>
    <row customHeight="1" ht="35.699999999999996">
      <c r="F43" s="1234" t="s">
        <v>1394</v>
      </c>
      <c r="G43" s="1242" t="s">
        <v>1395</v>
      </c>
      <c r="H43" s="1240">
        <f>SUM(I43:J43)</f>
        <v>0</v>
      </c>
      <c r="I43" s="1239"/>
      <c r="J43" s="1229"/>
      <c r="K43" s="1240">
        <f>SUM(L43:S43)</f>
        <v>0</v>
      </c>
      <c r="L43" s="1239"/>
      <c r="M43" s="1239"/>
      <c r="N43" s="1239"/>
      <c r="O43" s="1239"/>
      <c r="P43" s="1239"/>
      <c r="Q43" s="1239"/>
      <c r="R43" s="1239"/>
      <c r="S43" s="2443"/>
      <c r="T43" s="1240">
        <f>SUM(U43:AE43)</f>
        <v>0</v>
      </c>
      <c r="U43" s="1239"/>
      <c r="V43" s="1239"/>
      <c r="W43" s="1239"/>
      <c r="X43" s="1239"/>
      <c r="Y43" s="1239"/>
      <c r="Z43" s="1239"/>
      <c r="AA43" s="1239"/>
      <c r="AB43" s="1239"/>
      <c r="AC43" s="1239"/>
      <c r="AD43" s="1239"/>
      <c r="AE43" s="2443"/>
      <c r="AF43" s="1240">
        <f>SUM(AG43:AR43)</f>
        <v>0</v>
      </c>
      <c r="AG43" s="1239"/>
      <c r="AH43" s="1239"/>
      <c r="AI43" s="1239"/>
      <c r="AJ43" s="1239"/>
      <c r="AK43" s="1239"/>
      <c r="AL43" s="1239"/>
      <c r="AM43" s="1239"/>
      <c r="AN43" s="1239"/>
      <c r="AO43" s="1239"/>
      <c r="AP43" s="1239"/>
      <c r="AQ43" s="1239"/>
      <c r="AR43" s="2443"/>
      <c r="AS43" s="1240">
        <f>SUM(AT43:BB43)</f>
        <v>0</v>
      </c>
      <c r="AT43" s="1239"/>
      <c r="AU43" s="1239"/>
      <c r="AV43" s="1239"/>
      <c r="AW43" s="1239"/>
      <c r="AX43" s="1239"/>
      <c r="AY43" s="1239"/>
      <c r="AZ43" s="1239"/>
      <c r="BA43" s="1239"/>
      <c r="BB43" s="2443"/>
      <c r="BC43" s="1240">
        <f>SUM(BD43:BL43)</f>
        <v>0</v>
      </c>
      <c r="BD43" s="1239"/>
      <c r="BE43" s="1239"/>
      <c r="BF43" s="1239"/>
      <c r="BG43" s="1239"/>
      <c r="BH43" s="1239"/>
      <c r="BI43" s="1239"/>
      <c r="BJ43" s="1239"/>
      <c r="BK43" s="1239"/>
      <c r="BL43" s="2443"/>
      <c r="BM43" s="1240">
        <f>SUM(BN43:BV43)</f>
        <v>0</v>
      </c>
      <c r="BN43" s="1239"/>
      <c r="BO43" s="1239"/>
      <c r="BP43" s="1239"/>
      <c r="BQ43" s="1239"/>
      <c r="BR43" s="1239"/>
      <c r="BS43" s="1239"/>
      <c r="BT43" s="1239"/>
      <c r="BU43" s="1239"/>
      <c r="BV43" s="2443"/>
      <c r="BW43" s="1240">
        <f>SUM(BX43:CG43)</f>
        <v>0</v>
      </c>
      <c r="BX43" s="1239"/>
      <c r="BY43" s="1239"/>
      <c r="BZ43" s="1239"/>
      <c r="CA43" s="1239"/>
      <c r="CB43" s="1239"/>
      <c r="CC43" s="1239"/>
      <c r="CD43" s="1239"/>
      <c r="CE43" s="1239"/>
      <c r="CF43" s="1239"/>
      <c r="CG43" s="2443"/>
      <c r="CH43" s="1240">
        <f>SUM(CI43:CQ43)</f>
        <v>0</v>
      </c>
      <c r="CI43" s="1239"/>
      <c r="CJ43" s="1239"/>
      <c r="CK43" s="1239"/>
      <c r="CL43" s="1239"/>
      <c r="CM43" s="1239"/>
      <c r="CN43" s="1239"/>
      <c r="CO43" s="1239"/>
      <c r="CP43" s="1239"/>
      <c r="CQ43" s="2443"/>
      <c r="CR43" s="1240">
        <f>SUM(CS43:CV43)</f>
        <v>0</v>
      </c>
      <c r="CS43" s="1239"/>
      <c r="CT43" s="1239"/>
      <c r="CU43" s="1239"/>
      <c r="CV43" s="2443"/>
      <c r="CW43" s="1240">
        <f>SUM(CX43:DE43)</f>
        <v>0</v>
      </c>
      <c r="CX43" s="1239"/>
      <c r="CY43" s="1239"/>
      <c r="CZ43" s="1239"/>
      <c r="DA43" s="1239"/>
      <c r="DB43" s="1239"/>
      <c r="DC43" s="1239"/>
      <c r="DD43" s="1239"/>
      <c r="DE43" s="2443"/>
      <c r="DF43" s="1238"/>
      <c r="DR43" s="1159">
        <v>34</v>
      </c>
    </row>
    <row customHeight="1" ht="11.549999999999999">
      <c r="F44" s="1234" t="s">
        <v>1354</v>
      </c>
      <c r="G44" s="1241" t="s">
        <v>1380</v>
      </c>
      <c r="H44" s="1240">
        <f>SUM(I44:J44)</f>
        <v>0</v>
      </c>
      <c r="I44" s="1240">
        <f>SUM(I45:I46)</f>
        <v>0</v>
      </c>
      <c r="J44" s="1229"/>
      <c r="K44" s="1240">
        <f>SUM(L44:S44)</f>
        <v>0</v>
      </c>
      <c r="L44" s="1240">
        <f>SUM(L45:L46)</f>
        <v>0</v>
      </c>
      <c r="M44" s="1240">
        <f>SUM(M45:M46)</f>
        <v>0</v>
      </c>
      <c r="N44" s="1240">
        <f>SUM(N45:N46)</f>
        <v>0</v>
      </c>
      <c r="O44" s="1240">
        <f>SUM(O45:O46)</f>
        <v>0</v>
      </c>
      <c r="P44" s="1240">
        <f>SUM(P45:P46)</f>
        <v>0</v>
      </c>
      <c r="Q44" s="1240">
        <f>SUM(Q45:Q46)</f>
        <v>0</v>
      </c>
      <c r="R44" s="1240">
        <f>SUM(R45:R46)</f>
        <v>0</v>
      </c>
      <c r="S44" s="2443"/>
      <c r="T44" s="1240">
        <f>SUM(U44:AE44)</f>
        <v>0</v>
      </c>
      <c r="U44" s="1240">
        <f>SUM(U45:U46)</f>
        <v>0</v>
      </c>
      <c r="V44" s="1240">
        <f>SUM(V45:V46)</f>
        <v>0</v>
      </c>
      <c r="W44" s="1240">
        <f>SUM(W45:W46)</f>
        <v>0</v>
      </c>
      <c r="X44" s="1240">
        <f>SUM(X45:X46)</f>
        <v>0</v>
      </c>
      <c r="Y44" s="1240">
        <f>SUM(Y45:Y46)</f>
        <v>0</v>
      </c>
      <c r="Z44" s="1240">
        <f>SUM(Z45:Z46)</f>
        <v>0</v>
      </c>
      <c r="AA44" s="1240">
        <f>SUM(AA45:AA46)</f>
        <v>0</v>
      </c>
      <c r="AB44" s="1240">
        <f>SUM(AB45:AB46)</f>
        <v>0</v>
      </c>
      <c r="AC44" s="1240">
        <f>SUM(AC45:AC46)</f>
        <v>0</v>
      </c>
      <c r="AD44" s="1240">
        <f>SUM(AD45:AD46)</f>
        <v>0</v>
      </c>
      <c r="AE44" s="2443"/>
      <c r="AF44" s="1240">
        <f>SUM(AG44:AR44)</f>
        <v>0</v>
      </c>
      <c r="AG44" s="1240">
        <f>SUM(AG45:AG46)</f>
        <v>0</v>
      </c>
      <c r="AH44" s="1240">
        <f>SUM(AH45:AH46)</f>
        <v>0</v>
      </c>
      <c r="AI44" s="1240">
        <f>SUM(AI45:AI46)</f>
        <v>0</v>
      </c>
      <c r="AJ44" s="1240">
        <f>SUM(AJ45:AJ46)</f>
        <v>0</v>
      </c>
      <c r="AK44" s="1240">
        <f>SUM(AK45:AK46)</f>
        <v>0</v>
      </c>
      <c r="AL44" s="1240">
        <f>SUM(AL45:AL46)</f>
        <v>0</v>
      </c>
      <c r="AM44" s="1240">
        <f>SUM(AM45:AM46)</f>
        <v>0</v>
      </c>
      <c r="AN44" s="1240">
        <f>SUM(AN45:AN46)</f>
        <v>0</v>
      </c>
      <c r="AO44" s="1240">
        <f>SUM(AO45:AO46)</f>
        <v>0</v>
      </c>
      <c r="AP44" s="1240">
        <f>SUM(AP45:AP46)</f>
        <v>0</v>
      </c>
      <c r="AQ44" s="1240">
        <f>SUM(AQ45:AQ46)</f>
        <v>0</v>
      </c>
      <c r="AR44" s="2443"/>
      <c r="AS44" s="1240">
        <f>SUM(AT44:BB44)</f>
        <v>0</v>
      </c>
      <c r="AT44" s="1240">
        <f>SUM(AT45:AT46)</f>
        <v>0</v>
      </c>
      <c r="AU44" s="1240">
        <f>SUM(AU45:AU46)</f>
        <v>0</v>
      </c>
      <c r="AV44" s="1240">
        <f>SUM(AV45:AV46)</f>
        <v>0</v>
      </c>
      <c r="AW44" s="1240">
        <f>SUM(AW45:AW46)</f>
        <v>0</v>
      </c>
      <c r="AX44" s="1240">
        <f>SUM(AX45:AX46)</f>
        <v>0</v>
      </c>
      <c r="AY44" s="1240">
        <f>SUM(AY45:AY46)</f>
        <v>0</v>
      </c>
      <c r="AZ44" s="1240">
        <f>SUM(AZ45:AZ46)</f>
        <v>0</v>
      </c>
      <c r="BA44" s="1240">
        <f>SUM(BA45:BA46)</f>
        <v>0</v>
      </c>
      <c r="BB44" s="2443"/>
      <c r="BC44" s="1240">
        <f>SUM(BD44:BL44)</f>
        <v>0</v>
      </c>
      <c r="BD44" s="1240">
        <f>SUM(BD45:BD46)</f>
        <v>0</v>
      </c>
      <c r="BE44" s="1240">
        <f>SUM(BE45:BE46)</f>
        <v>0</v>
      </c>
      <c r="BF44" s="1240">
        <f>SUM(BF45:BF46)</f>
        <v>0</v>
      </c>
      <c r="BG44" s="1240">
        <f>SUM(BG45:BG46)</f>
        <v>0</v>
      </c>
      <c r="BH44" s="1240">
        <f>SUM(BH45:BH46)</f>
        <v>0</v>
      </c>
      <c r="BI44" s="1240">
        <f>SUM(BI45:BI46)</f>
        <v>0</v>
      </c>
      <c r="BJ44" s="1240">
        <f>SUM(BJ45:BJ46)</f>
        <v>0</v>
      </c>
      <c r="BK44" s="1240">
        <f>SUM(BK45:BK46)</f>
        <v>0</v>
      </c>
      <c r="BL44" s="2443"/>
      <c r="BM44" s="1240">
        <f>SUM(BN44:BV44)</f>
        <v>0</v>
      </c>
      <c r="BN44" s="1240">
        <f>SUM(BN45:BN46)</f>
        <v>0</v>
      </c>
      <c r="BO44" s="1240">
        <f>SUM(BO45:BO46)</f>
        <v>0</v>
      </c>
      <c r="BP44" s="1240">
        <f>SUM(BP45:BP46)</f>
        <v>0</v>
      </c>
      <c r="BQ44" s="1240">
        <f>SUM(BQ45:BQ46)</f>
        <v>0</v>
      </c>
      <c r="BR44" s="1240">
        <f>SUM(BR45:BR46)</f>
        <v>0</v>
      </c>
      <c r="BS44" s="1240">
        <f>SUM(BS45:BS46)</f>
        <v>0</v>
      </c>
      <c r="BT44" s="1240">
        <f>SUM(BT45:BT46)</f>
        <v>0</v>
      </c>
      <c r="BU44" s="1240">
        <f>SUM(BU45:BU46)</f>
        <v>0</v>
      </c>
      <c r="BV44" s="2443"/>
      <c r="BW44" s="1240">
        <f>SUM(BX44:CG44)</f>
        <v>0</v>
      </c>
      <c r="BX44" s="1240">
        <f>SUM(BX45:BX46)</f>
        <v>0</v>
      </c>
      <c r="BY44" s="1240">
        <f>SUM(BY45:BY46)</f>
        <v>0</v>
      </c>
      <c r="BZ44" s="1240">
        <f>SUM(BZ45:BZ46)</f>
        <v>0</v>
      </c>
      <c r="CA44" s="1240">
        <f>SUM(CA45:CA46)</f>
        <v>0</v>
      </c>
      <c r="CB44" s="1240">
        <f>SUM(CB45:CB46)</f>
        <v>0</v>
      </c>
      <c r="CC44" s="1240">
        <f>SUM(CC45:CC46)</f>
        <v>0</v>
      </c>
      <c r="CD44" s="1240">
        <f>SUM(CD45:CD46)</f>
        <v>0</v>
      </c>
      <c r="CE44" s="1240">
        <f>SUM(CE45:CE46)</f>
        <v>0</v>
      </c>
      <c r="CF44" s="1240">
        <f>SUM(CF45:CF46)</f>
        <v>0</v>
      </c>
      <c r="CG44" s="2443"/>
      <c r="CH44" s="1240">
        <f>SUM(CI44:CQ44)</f>
        <v>0</v>
      </c>
      <c r="CI44" s="1240">
        <f>SUM(CI45:CI46)</f>
        <v>0</v>
      </c>
      <c r="CJ44" s="1240">
        <f>SUM(CJ45:CJ46)</f>
        <v>0</v>
      </c>
      <c r="CK44" s="1240">
        <f>SUM(CK45:CK46)</f>
        <v>0</v>
      </c>
      <c r="CL44" s="1240">
        <f>SUM(CL45:CL46)</f>
        <v>0</v>
      </c>
      <c r="CM44" s="1240">
        <f>SUM(CM45:CM46)</f>
        <v>0</v>
      </c>
      <c r="CN44" s="1240">
        <f>SUM(CN45:CN46)</f>
        <v>0</v>
      </c>
      <c r="CO44" s="1240">
        <f>SUM(CO45:CO46)</f>
        <v>0</v>
      </c>
      <c r="CP44" s="1240">
        <f>SUM(CP45:CP46)</f>
        <v>0</v>
      </c>
      <c r="CQ44" s="2443"/>
      <c r="CR44" s="1240">
        <f>SUM(CS44:CV44)</f>
        <v>0</v>
      </c>
      <c r="CS44" s="1240">
        <f>SUM(CS45:CS46)</f>
        <v>0</v>
      </c>
      <c r="CT44" s="1240">
        <f>SUM(CT45:CT46)</f>
        <v>0</v>
      </c>
      <c r="CU44" s="1240">
        <f>SUM(CU45:CU46)</f>
        <v>0</v>
      </c>
      <c r="CV44" s="2443"/>
      <c r="CW44" s="1240">
        <f>SUM(CX44:DE44)</f>
        <v>0</v>
      </c>
      <c r="CX44" s="1240">
        <f>SUM(CX45:CX46)</f>
        <v>0</v>
      </c>
      <c r="CY44" s="1240">
        <f>SUM(CY45:CY46)</f>
        <v>0</v>
      </c>
      <c r="CZ44" s="1240">
        <f>SUM(CZ45:CZ46)</f>
        <v>0</v>
      </c>
      <c r="DA44" s="1240">
        <f>SUM(DA45:DA46)</f>
        <v>0</v>
      </c>
      <c r="DB44" s="1240">
        <f>SUM(DB45:DB46)</f>
        <v>0</v>
      </c>
      <c r="DC44" s="1240">
        <f>SUM(DC45:DC46)</f>
        <v>0</v>
      </c>
      <c r="DD44" s="1240">
        <f>SUM(DD45:DD46)</f>
        <v>0</v>
      </c>
      <c r="DE44" s="2443"/>
      <c r="DF44" s="1238"/>
      <c r="DR44" s="1159">
        <v>11</v>
      </c>
    </row>
    <row customHeight="1" ht="48.29999999999999">
      <c r="F45" s="1234" t="s">
        <v>1396</v>
      </c>
      <c r="G45" s="1242" t="s">
        <v>1381</v>
      </c>
      <c r="H45" s="1240">
        <f>SUM(I45:J45)</f>
        <v>0</v>
      </c>
      <c r="I45" s="1239"/>
      <c r="J45" s="1229"/>
      <c r="K45" s="1240">
        <f>SUM(L45:S45)</f>
        <v>0</v>
      </c>
      <c r="L45" s="1239"/>
      <c r="M45" s="1239"/>
      <c r="N45" s="1239"/>
      <c r="O45" s="1239"/>
      <c r="P45" s="1239"/>
      <c r="Q45" s="1239"/>
      <c r="R45" s="1239"/>
      <c r="S45" s="2443"/>
      <c r="T45" s="1240">
        <f>SUM(U45:AE45)</f>
        <v>0</v>
      </c>
      <c r="U45" s="1239"/>
      <c r="V45" s="1239"/>
      <c r="W45" s="1239"/>
      <c r="X45" s="1239"/>
      <c r="Y45" s="1239"/>
      <c r="Z45" s="1239"/>
      <c r="AA45" s="1239"/>
      <c r="AB45" s="1239"/>
      <c r="AC45" s="1239"/>
      <c r="AD45" s="1239"/>
      <c r="AE45" s="2443"/>
      <c r="AF45" s="1240">
        <f>SUM(AG45:AR45)</f>
        <v>0</v>
      </c>
      <c r="AG45" s="1239"/>
      <c r="AH45" s="1239"/>
      <c r="AI45" s="1239"/>
      <c r="AJ45" s="1239"/>
      <c r="AK45" s="1239"/>
      <c r="AL45" s="1239"/>
      <c r="AM45" s="1239"/>
      <c r="AN45" s="1239"/>
      <c r="AO45" s="1239"/>
      <c r="AP45" s="1239"/>
      <c r="AQ45" s="1239"/>
      <c r="AR45" s="2443"/>
      <c r="AS45" s="1240">
        <f>SUM(AT45:BB45)</f>
        <v>0</v>
      </c>
      <c r="AT45" s="1239"/>
      <c r="AU45" s="1239"/>
      <c r="AV45" s="1239"/>
      <c r="AW45" s="1239"/>
      <c r="AX45" s="1239"/>
      <c r="AY45" s="1239"/>
      <c r="AZ45" s="1239"/>
      <c r="BA45" s="1239"/>
      <c r="BB45" s="2443"/>
      <c r="BC45" s="1240">
        <f>SUM(BD45:BL45)</f>
        <v>0</v>
      </c>
      <c r="BD45" s="1239"/>
      <c r="BE45" s="1239"/>
      <c r="BF45" s="1239"/>
      <c r="BG45" s="1239"/>
      <c r="BH45" s="1239"/>
      <c r="BI45" s="1239"/>
      <c r="BJ45" s="1239"/>
      <c r="BK45" s="1239"/>
      <c r="BL45" s="2443"/>
      <c r="BM45" s="1240">
        <f>SUM(BN45:BV45)</f>
        <v>0</v>
      </c>
      <c r="BN45" s="1239"/>
      <c r="BO45" s="1239"/>
      <c r="BP45" s="1239"/>
      <c r="BQ45" s="1239"/>
      <c r="BR45" s="1239"/>
      <c r="BS45" s="1239"/>
      <c r="BT45" s="1239"/>
      <c r="BU45" s="1239"/>
      <c r="BV45" s="2443"/>
      <c r="BW45" s="1240">
        <f>SUM(BX45:CG45)</f>
        <v>0</v>
      </c>
      <c r="BX45" s="1239"/>
      <c r="BY45" s="1239"/>
      <c r="BZ45" s="1239"/>
      <c r="CA45" s="1239"/>
      <c r="CB45" s="1239"/>
      <c r="CC45" s="1239"/>
      <c r="CD45" s="1239"/>
      <c r="CE45" s="1239"/>
      <c r="CF45" s="1239"/>
      <c r="CG45" s="2443"/>
      <c r="CH45" s="1240">
        <f>SUM(CI45:CQ45)</f>
        <v>0</v>
      </c>
      <c r="CI45" s="1239"/>
      <c r="CJ45" s="1239"/>
      <c r="CK45" s="1239"/>
      <c r="CL45" s="1239"/>
      <c r="CM45" s="1239"/>
      <c r="CN45" s="1239"/>
      <c r="CO45" s="1239"/>
      <c r="CP45" s="1239"/>
      <c r="CQ45" s="2443"/>
      <c r="CR45" s="1240">
        <f>SUM(CS45:CV45)</f>
        <v>0</v>
      </c>
      <c r="CS45" s="1239"/>
      <c r="CT45" s="1239"/>
      <c r="CU45" s="1239"/>
      <c r="CV45" s="2443"/>
      <c r="CW45" s="1240">
        <f>SUM(CX45:DE45)</f>
        <v>0</v>
      </c>
      <c r="CX45" s="1239"/>
      <c r="CY45" s="1239"/>
      <c r="CZ45" s="1239"/>
      <c r="DA45" s="1239"/>
      <c r="DB45" s="1239"/>
      <c r="DC45" s="1239"/>
      <c r="DD45" s="1239"/>
      <c r="DE45" s="2443"/>
      <c r="DF45" s="1238"/>
      <c r="DR45" s="1159">
        <v>46</v>
      </c>
    </row>
    <row customHeight="1" ht="11.549999999999999">
      <c r="F46" s="1234" t="s">
        <v>1397</v>
      </c>
      <c r="G46" s="1242" t="s">
        <v>1382</v>
      </c>
      <c r="H46" s="1240">
        <f>SUM(I46:J46)</f>
        <v>0</v>
      </c>
      <c r="I46" s="1239"/>
      <c r="J46" s="1229"/>
      <c r="K46" s="1240">
        <f>SUM(L46:S46)</f>
        <v>0</v>
      </c>
      <c r="L46" s="1239"/>
      <c r="M46" s="1239"/>
      <c r="N46" s="1239"/>
      <c r="O46" s="1239"/>
      <c r="P46" s="1239"/>
      <c r="Q46" s="1239"/>
      <c r="R46" s="1239"/>
      <c r="S46" s="2443"/>
      <c r="T46" s="1240">
        <f>SUM(U46:AE46)</f>
        <v>0</v>
      </c>
      <c r="U46" s="1239"/>
      <c r="V46" s="1239"/>
      <c r="W46" s="1239"/>
      <c r="X46" s="1239"/>
      <c r="Y46" s="1239"/>
      <c r="Z46" s="1239"/>
      <c r="AA46" s="1239"/>
      <c r="AB46" s="1239"/>
      <c r="AC46" s="1239"/>
      <c r="AD46" s="1239"/>
      <c r="AE46" s="2443"/>
      <c r="AF46" s="1240">
        <f>SUM(AG46:AR46)</f>
        <v>0</v>
      </c>
      <c r="AG46" s="1239"/>
      <c r="AH46" s="1239"/>
      <c r="AI46" s="1239"/>
      <c r="AJ46" s="1239"/>
      <c r="AK46" s="1239"/>
      <c r="AL46" s="1239"/>
      <c r="AM46" s="1239"/>
      <c r="AN46" s="1239"/>
      <c r="AO46" s="1239"/>
      <c r="AP46" s="1239"/>
      <c r="AQ46" s="1239"/>
      <c r="AR46" s="2443"/>
      <c r="AS46" s="1240">
        <f>SUM(AT46:BB46)</f>
        <v>0</v>
      </c>
      <c r="AT46" s="1239"/>
      <c r="AU46" s="1239"/>
      <c r="AV46" s="1239"/>
      <c r="AW46" s="1239"/>
      <c r="AX46" s="1239"/>
      <c r="AY46" s="1239"/>
      <c r="AZ46" s="1239"/>
      <c r="BA46" s="1239"/>
      <c r="BB46" s="2443"/>
      <c r="BC46" s="1240">
        <f>SUM(BD46:BL46)</f>
        <v>0</v>
      </c>
      <c r="BD46" s="1239"/>
      <c r="BE46" s="1239"/>
      <c r="BF46" s="1239"/>
      <c r="BG46" s="1239"/>
      <c r="BH46" s="1239"/>
      <c r="BI46" s="1239"/>
      <c r="BJ46" s="1239"/>
      <c r="BK46" s="1239"/>
      <c r="BL46" s="2443"/>
      <c r="BM46" s="1240">
        <f>SUM(BN46:BV46)</f>
        <v>0</v>
      </c>
      <c r="BN46" s="1239"/>
      <c r="BO46" s="1239"/>
      <c r="BP46" s="1239"/>
      <c r="BQ46" s="1239"/>
      <c r="BR46" s="1239"/>
      <c r="BS46" s="1239"/>
      <c r="BT46" s="1239"/>
      <c r="BU46" s="1239"/>
      <c r="BV46" s="2443"/>
      <c r="BW46" s="1240">
        <f>SUM(BX46:CG46)</f>
        <v>0</v>
      </c>
      <c r="BX46" s="1239"/>
      <c r="BY46" s="1239"/>
      <c r="BZ46" s="1239"/>
      <c r="CA46" s="1239"/>
      <c r="CB46" s="1239"/>
      <c r="CC46" s="1239"/>
      <c r="CD46" s="1239"/>
      <c r="CE46" s="1239"/>
      <c r="CF46" s="1239"/>
      <c r="CG46" s="2443"/>
      <c r="CH46" s="1240">
        <f>SUM(CI46:CQ46)</f>
        <v>0</v>
      </c>
      <c r="CI46" s="1239"/>
      <c r="CJ46" s="1239"/>
      <c r="CK46" s="1239"/>
      <c r="CL46" s="1239"/>
      <c r="CM46" s="1239"/>
      <c r="CN46" s="1239"/>
      <c r="CO46" s="1239"/>
      <c r="CP46" s="1239"/>
      <c r="CQ46" s="2443"/>
      <c r="CR46" s="1240">
        <f>SUM(CS46:CV46)</f>
        <v>0</v>
      </c>
      <c r="CS46" s="1239"/>
      <c r="CT46" s="1239"/>
      <c r="CU46" s="1239"/>
      <c r="CV46" s="2443"/>
      <c r="CW46" s="1240">
        <f>SUM(CX46:DE46)</f>
        <v>0</v>
      </c>
      <c r="CX46" s="1239"/>
      <c r="CY46" s="1239"/>
      <c r="CZ46" s="1239"/>
      <c r="DA46" s="1239"/>
      <c r="DB46" s="1239"/>
      <c r="DC46" s="1239"/>
      <c r="DD46" s="1239"/>
      <c r="DE46" s="2443"/>
      <c r="DF46" s="1238"/>
      <c r="DR46" s="1159">
        <v>11</v>
      </c>
    </row>
    <row customHeight="1" ht="11.549999999999999">
      <c r="F47" s="1234" t="s">
        <v>1356</v>
      </c>
      <c r="G47" s="1241" t="s">
        <v>1398</v>
      </c>
      <c r="H47" s="1240">
        <f>SUM(I47:J47)</f>
        <v>0</v>
      </c>
      <c r="I47" s="1239"/>
      <c r="J47" s="1229"/>
      <c r="K47" s="1240">
        <f>SUM(L47:S47)</f>
        <v>0</v>
      </c>
      <c r="L47" s="1239"/>
      <c r="M47" s="1239"/>
      <c r="N47" s="1239"/>
      <c r="O47" s="1239"/>
      <c r="P47" s="1239"/>
      <c r="Q47" s="1239"/>
      <c r="R47" s="1239"/>
      <c r="S47" s="2443"/>
      <c r="T47" s="1240">
        <f>SUM(U47:AE47)</f>
        <v>0</v>
      </c>
      <c r="U47" s="1239"/>
      <c r="V47" s="1239"/>
      <c r="W47" s="1239"/>
      <c r="X47" s="1239"/>
      <c r="Y47" s="1239"/>
      <c r="Z47" s="1239"/>
      <c r="AA47" s="1239"/>
      <c r="AB47" s="1239"/>
      <c r="AC47" s="1239"/>
      <c r="AD47" s="1239"/>
      <c r="AE47" s="2443"/>
      <c r="AF47" s="1240">
        <f>SUM(AG47:AR47)</f>
        <v>0</v>
      </c>
      <c r="AG47" s="1239"/>
      <c r="AH47" s="1239"/>
      <c r="AI47" s="1239"/>
      <c r="AJ47" s="1239"/>
      <c r="AK47" s="1239"/>
      <c r="AL47" s="1239"/>
      <c r="AM47" s="1239"/>
      <c r="AN47" s="1239"/>
      <c r="AO47" s="1239"/>
      <c r="AP47" s="1239"/>
      <c r="AQ47" s="1239"/>
      <c r="AR47" s="2443"/>
      <c r="AS47" s="1240">
        <f>SUM(AT47:BB47)</f>
        <v>0</v>
      </c>
      <c r="AT47" s="1239"/>
      <c r="AU47" s="1239"/>
      <c r="AV47" s="1239"/>
      <c r="AW47" s="1239"/>
      <c r="AX47" s="1239"/>
      <c r="AY47" s="1239"/>
      <c r="AZ47" s="1239"/>
      <c r="BA47" s="1239"/>
      <c r="BB47" s="2443"/>
      <c r="BC47" s="1240">
        <f>SUM(BD47:BL47)</f>
        <v>0</v>
      </c>
      <c r="BD47" s="1239"/>
      <c r="BE47" s="1239"/>
      <c r="BF47" s="1239"/>
      <c r="BG47" s="1239"/>
      <c r="BH47" s="1239"/>
      <c r="BI47" s="1239"/>
      <c r="BJ47" s="1239"/>
      <c r="BK47" s="1239"/>
      <c r="BL47" s="2443"/>
      <c r="BM47" s="1240">
        <f>SUM(BN47:BV47)</f>
        <v>0</v>
      </c>
      <c r="BN47" s="1239"/>
      <c r="BO47" s="1239"/>
      <c r="BP47" s="1239"/>
      <c r="BQ47" s="1239"/>
      <c r="BR47" s="1239"/>
      <c r="BS47" s="1239"/>
      <c r="BT47" s="1239"/>
      <c r="BU47" s="1239"/>
      <c r="BV47" s="2443"/>
      <c r="BW47" s="1240">
        <f>SUM(BX47:CG47)</f>
        <v>0</v>
      </c>
      <c r="BX47" s="1239"/>
      <c r="BY47" s="1239"/>
      <c r="BZ47" s="1239"/>
      <c r="CA47" s="1239"/>
      <c r="CB47" s="1239"/>
      <c r="CC47" s="1239"/>
      <c r="CD47" s="1239"/>
      <c r="CE47" s="1239"/>
      <c r="CF47" s="1239"/>
      <c r="CG47" s="2443"/>
      <c r="CH47" s="1240">
        <f>SUM(CI47:CQ47)</f>
        <v>0</v>
      </c>
      <c r="CI47" s="1239"/>
      <c r="CJ47" s="1239"/>
      <c r="CK47" s="1239"/>
      <c r="CL47" s="1239"/>
      <c r="CM47" s="1239"/>
      <c r="CN47" s="1239"/>
      <c r="CO47" s="1239"/>
      <c r="CP47" s="1239"/>
      <c r="CQ47" s="2443"/>
      <c r="CR47" s="1240">
        <f>SUM(CS47:CV47)</f>
        <v>0</v>
      </c>
      <c r="CS47" s="1239"/>
      <c r="CT47" s="1239"/>
      <c r="CU47" s="1239"/>
      <c r="CV47" s="2443"/>
      <c r="CW47" s="1240">
        <f>SUM(CX47:DE47)</f>
        <v>0</v>
      </c>
      <c r="CX47" s="1239"/>
      <c r="CY47" s="1239"/>
      <c r="CZ47" s="1239"/>
      <c r="DA47" s="1239"/>
      <c r="DB47" s="1239"/>
      <c r="DC47" s="1239"/>
      <c r="DD47" s="1239"/>
      <c r="DE47" s="2443"/>
      <c r="DF47" s="1238"/>
      <c r="DR47" s="1159">
        <v>11</v>
      </c>
    </row>
    <row customHeight="1" ht="24">
      <c r="F48" s="1234" t="s">
        <v>102</v>
      </c>
      <c r="G48" s="694" t="s">
        <v>1399</v>
      </c>
      <c r="H48" s="1240">
        <f>SUM(I48:J48)</f>
        <v>0</v>
      </c>
      <c r="I48" s="1240">
        <f>SUM(I49,I54,I57)</f>
        <v>0</v>
      </c>
      <c r="J48" s="1229"/>
      <c r="K48" s="1240">
        <f>SUM(L48:S48)</f>
        <v>0</v>
      </c>
      <c r="L48" s="1240">
        <f>SUM(L49,L54,L57)</f>
        <v>0</v>
      </c>
      <c r="M48" s="1240">
        <f>SUM(M49,M54,M57)</f>
        <v>0</v>
      </c>
      <c r="N48" s="1240">
        <f>SUM(N49,N54,N57)</f>
        <v>0</v>
      </c>
      <c r="O48" s="1240">
        <f>SUM(O49,O54,O57)</f>
        <v>0</v>
      </c>
      <c r="P48" s="1240">
        <f>SUM(P49,P54,P57)</f>
        <v>0</v>
      </c>
      <c r="Q48" s="1240">
        <f>SUM(Q49,Q54,Q57)</f>
        <v>0</v>
      </c>
      <c r="R48" s="1240">
        <f>SUM(R49,R54,R57)</f>
        <v>0</v>
      </c>
      <c r="S48" s="2443"/>
      <c r="T48" s="1240">
        <f>SUM(U48:AE48)</f>
        <v>0</v>
      </c>
      <c r="U48" s="1240">
        <f>SUM(U49,U54,U57)</f>
        <v>0</v>
      </c>
      <c r="V48" s="1240">
        <f>SUM(V49,V54,V57)</f>
        <v>0</v>
      </c>
      <c r="W48" s="1240">
        <f>SUM(W49,W54,W57)</f>
        <v>0</v>
      </c>
      <c r="X48" s="1240">
        <f>SUM(X49,X54,X57)</f>
        <v>0</v>
      </c>
      <c r="Y48" s="1240">
        <f>SUM(Y49,Y54,Y57)</f>
        <v>0</v>
      </c>
      <c r="Z48" s="1240">
        <f>SUM(Z49,Z54,Z57)</f>
        <v>0</v>
      </c>
      <c r="AA48" s="1240">
        <f>SUM(AA49,AA54,AA57)</f>
        <v>0</v>
      </c>
      <c r="AB48" s="1240">
        <f>SUM(AB49,AB54,AB57)</f>
        <v>0</v>
      </c>
      <c r="AC48" s="1240">
        <f>SUM(AC49,AC54,AC57)</f>
        <v>0</v>
      </c>
      <c r="AD48" s="1240">
        <f>SUM(AD49,AD54,AD57)</f>
        <v>0</v>
      </c>
      <c r="AE48" s="2443"/>
      <c r="AF48" s="1240">
        <f>SUM(AG48:AR48)</f>
        <v>0</v>
      </c>
      <c r="AG48" s="1240">
        <f>SUM(AG49,AG54,AG57)</f>
        <v>0</v>
      </c>
      <c r="AH48" s="1240">
        <f>SUM(AH49,AH54,AH57)</f>
        <v>0</v>
      </c>
      <c r="AI48" s="1240">
        <f>SUM(AI49,AI54,AI57)</f>
        <v>0</v>
      </c>
      <c r="AJ48" s="1240">
        <f>SUM(AJ49,AJ54,AJ57)</f>
        <v>0</v>
      </c>
      <c r="AK48" s="1240">
        <f>SUM(AK49,AK54,AK57)</f>
        <v>0</v>
      </c>
      <c r="AL48" s="1240">
        <f>SUM(AL49,AL54,AL57)</f>
        <v>0</v>
      </c>
      <c r="AM48" s="1240">
        <f>SUM(AM49,AM54,AM57)</f>
        <v>0</v>
      </c>
      <c r="AN48" s="1240">
        <f>SUM(AN49,AN54,AN57)</f>
        <v>0</v>
      </c>
      <c r="AO48" s="1240">
        <f>SUM(AO49,AO54,AO57)</f>
        <v>0</v>
      </c>
      <c r="AP48" s="1240">
        <f>SUM(AP49,AP54,AP57)</f>
        <v>0</v>
      </c>
      <c r="AQ48" s="1240">
        <f>SUM(AQ49,AQ54,AQ57)</f>
        <v>0</v>
      </c>
      <c r="AR48" s="2443"/>
      <c r="AS48" s="1240">
        <f>SUM(AT48:BB48)</f>
        <v>0</v>
      </c>
      <c r="AT48" s="1240">
        <f>SUM(AT49,AT54,AT57)</f>
        <v>0</v>
      </c>
      <c r="AU48" s="1240">
        <f>SUM(AU49,AU54,AU57)</f>
        <v>0</v>
      </c>
      <c r="AV48" s="1240">
        <f>SUM(AV49,AV54,AV57)</f>
        <v>0</v>
      </c>
      <c r="AW48" s="1240">
        <f>SUM(AW49,AW54,AW57)</f>
        <v>0</v>
      </c>
      <c r="AX48" s="1240">
        <f>SUM(AX49,AX54,AX57)</f>
        <v>0</v>
      </c>
      <c r="AY48" s="1240">
        <f>SUM(AY49,AY54,AY57)</f>
        <v>0</v>
      </c>
      <c r="AZ48" s="1240">
        <f>SUM(AZ49,AZ54,AZ57)</f>
        <v>0</v>
      </c>
      <c r="BA48" s="1240">
        <f>SUM(BA49,BA54,BA57)</f>
        <v>0</v>
      </c>
      <c r="BB48" s="2443"/>
      <c r="BC48" s="1240">
        <f>SUM(BD48:BL48)</f>
        <v>0</v>
      </c>
      <c r="BD48" s="1240">
        <f>SUM(BD49,BD54,BD57)</f>
        <v>0</v>
      </c>
      <c r="BE48" s="1240">
        <f>SUM(BE49,BE54,BE57)</f>
        <v>0</v>
      </c>
      <c r="BF48" s="1240">
        <f>SUM(BF49,BF54,BF57)</f>
        <v>0</v>
      </c>
      <c r="BG48" s="1240">
        <f>SUM(BG49,BG54,BG57)</f>
        <v>0</v>
      </c>
      <c r="BH48" s="1240">
        <f>SUM(BH49,BH54,BH57)</f>
        <v>0</v>
      </c>
      <c r="BI48" s="1240">
        <f>SUM(BI49,BI54,BI57)</f>
        <v>0</v>
      </c>
      <c r="BJ48" s="1240">
        <f>SUM(BJ49,BJ54,BJ57)</f>
        <v>0</v>
      </c>
      <c r="BK48" s="1240">
        <f>SUM(BK49,BK54,BK57)</f>
        <v>0</v>
      </c>
      <c r="BL48" s="2443"/>
      <c r="BM48" s="1240">
        <f>SUM(BN48:BV48)</f>
        <v>0</v>
      </c>
      <c r="BN48" s="1240">
        <f>SUM(BN49,BN54,BN57)</f>
        <v>0</v>
      </c>
      <c r="BO48" s="1240">
        <f>SUM(BO49,BO54,BO57)</f>
        <v>0</v>
      </c>
      <c r="BP48" s="1240">
        <f>SUM(BP49,BP54,BP57)</f>
        <v>0</v>
      </c>
      <c r="BQ48" s="1240">
        <f>SUM(BQ49,BQ54,BQ57)</f>
        <v>0</v>
      </c>
      <c r="BR48" s="1240">
        <f>SUM(BR49,BR54,BR57)</f>
        <v>0</v>
      </c>
      <c r="BS48" s="1240">
        <f>SUM(BS49,BS54,BS57)</f>
        <v>0</v>
      </c>
      <c r="BT48" s="1240">
        <f>SUM(BT49,BT54,BT57)</f>
        <v>0</v>
      </c>
      <c r="BU48" s="1240">
        <f>SUM(BU49,BU54,BU57)</f>
        <v>0</v>
      </c>
      <c r="BV48" s="2443"/>
      <c r="BW48" s="1240">
        <f>SUM(BX48:CG48)</f>
        <v>0</v>
      </c>
      <c r="BX48" s="1240">
        <f>SUM(BX49,BX54,BX57)</f>
        <v>0</v>
      </c>
      <c r="BY48" s="1240">
        <f>SUM(BY49,BY54,BY57)</f>
        <v>0</v>
      </c>
      <c r="BZ48" s="1240">
        <f>SUM(BZ49,BZ54,BZ57)</f>
        <v>0</v>
      </c>
      <c r="CA48" s="1240">
        <f>SUM(CA49,CA54,CA57)</f>
        <v>0</v>
      </c>
      <c r="CB48" s="1240">
        <f>SUM(CB49,CB54,CB57)</f>
        <v>0</v>
      </c>
      <c r="CC48" s="1240">
        <f>SUM(CC49,CC54,CC57)</f>
        <v>0</v>
      </c>
      <c r="CD48" s="1240">
        <f>SUM(CD49,CD54,CD57)</f>
        <v>0</v>
      </c>
      <c r="CE48" s="1240">
        <f>SUM(CE49,CE54,CE57)</f>
        <v>0</v>
      </c>
      <c r="CF48" s="1240">
        <f>SUM(CF49,CF54,CF57)</f>
        <v>0</v>
      </c>
      <c r="CG48" s="2443"/>
      <c r="CH48" s="1240">
        <f>SUM(CI48:CQ48)</f>
        <v>0</v>
      </c>
      <c r="CI48" s="1240">
        <f>SUM(CI49,CI54,CI57)</f>
        <v>0</v>
      </c>
      <c r="CJ48" s="1240">
        <f>SUM(CJ49,CJ54,CJ57)</f>
        <v>0</v>
      </c>
      <c r="CK48" s="1240">
        <f>SUM(CK49,CK54,CK57)</f>
        <v>0</v>
      </c>
      <c r="CL48" s="1240">
        <f>SUM(CL49,CL54,CL57)</f>
        <v>0</v>
      </c>
      <c r="CM48" s="1240">
        <f>SUM(CM49,CM54,CM57)</f>
        <v>0</v>
      </c>
      <c r="CN48" s="1240">
        <f>SUM(CN49,CN54,CN57)</f>
        <v>0</v>
      </c>
      <c r="CO48" s="1240">
        <f>SUM(CO49,CO54,CO57)</f>
        <v>0</v>
      </c>
      <c r="CP48" s="1240">
        <f>SUM(CP49,CP54,CP57)</f>
        <v>0</v>
      </c>
      <c r="CQ48" s="2443"/>
      <c r="CR48" s="1240">
        <f>SUM(CS48:CV48)</f>
        <v>0</v>
      </c>
      <c r="CS48" s="1240">
        <f>SUM(CS49,CS54,CS57)</f>
        <v>0</v>
      </c>
      <c r="CT48" s="1240">
        <f>SUM(CT49,CT54,CT57)</f>
        <v>0</v>
      </c>
      <c r="CU48" s="1240">
        <f>SUM(CU49,CU54,CU57)</f>
        <v>0</v>
      </c>
      <c r="CV48" s="2443"/>
      <c r="CW48" s="1240">
        <f>SUM(CX48:DE48)</f>
        <v>0</v>
      </c>
      <c r="CX48" s="1240">
        <f>SUM(CX49,CX54,CX57)</f>
        <v>0</v>
      </c>
      <c r="CY48" s="1240">
        <f>SUM(CY49,CY54,CY57)</f>
        <v>0</v>
      </c>
      <c r="CZ48" s="1240">
        <f>SUM(CZ49,CZ54,CZ57)</f>
        <v>0</v>
      </c>
      <c r="DA48" s="1240">
        <f>SUM(DA49,DA54,DA57)</f>
        <v>0</v>
      </c>
      <c r="DB48" s="1240">
        <f>SUM(DB49,DB54,DB57)</f>
        <v>0</v>
      </c>
      <c r="DC48" s="1240">
        <f>SUM(DC49,DC54,DC57)</f>
        <v>0</v>
      </c>
      <c r="DD48" s="1240">
        <f>SUM(DD49,DD54,DD57)</f>
        <v>0</v>
      </c>
      <c r="DE48" s="2443"/>
      <c r="DF48" s="1238"/>
      <c r="DR48" s="1159">
        <v>23</v>
      </c>
    </row>
    <row customHeight="1" ht="11.549999999999999">
      <c r="F49" s="1234" t="s">
        <v>891</v>
      </c>
      <c r="G49" s="1241" t="s">
        <v>1351</v>
      </c>
      <c r="H49" s="1240">
        <f>SUM(I49:J49)</f>
        <v>0</v>
      </c>
      <c r="I49" s="1240">
        <f>SUM(I50:I53)</f>
        <v>0</v>
      </c>
      <c r="J49" s="1229"/>
      <c r="K49" s="1240">
        <f>SUM(L49:S49)</f>
        <v>0</v>
      </c>
      <c r="L49" s="1240">
        <f>SUM(L50:L53)</f>
        <v>0</v>
      </c>
      <c r="M49" s="1240">
        <f>SUM(M50:M53)</f>
        <v>0</v>
      </c>
      <c r="N49" s="1240">
        <f>SUM(N50:N53)</f>
        <v>0</v>
      </c>
      <c r="O49" s="1240">
        <f>SUM(O50:O53)</f>
        <v>0</v>
      </c>
      <c r="P49" s="1240">
        <f>SUM(P50:P53)</f>
        <v>0</v>
      </c>
      <c r="Q49" s="1240">
        <f>SUM(Q50:Q53)</f>
        <v>0</v>
      </c>
      <c r="R49" s="1240">
        <f>SUM(R50:R53)</f>
        <v>0</v>
      </c>
      <c r="S49" s="2443"/>
      <c r="T49" s="1240">
        <f>SUM(U49:AE49)</f>
        <v>0</v>
      </c>
      <c r="U49" s="1240">
        <f>SUM(U50:U53)</f>
        <v>0</v>
      </c>
      <c r="V49" s="1240">
        <f>SUM(V50:V53)</f>
        <v>0</v>
      </c>
      <c r="W49" s="1240">
        <f>SUM(W50:W53)</f>
        <v>0</v>
      </c>
      <c r="X49" s="1240">
        <f>SUM(X50:X53)</f>
        <v>0</v>
      </c>
      <c r="Y49" s="1240">
        <f>SUM(Y50:Y53)</f>
        <v>0</v>
      </c>
      <c r="Z49" s="1240">
        <f>SUM(Z50:Z53)</f>
        <v>0</v>
      </c>
      <c r="AA49" s="1240">
        <f>SUM(AA50:AA53)</f>
        <v>0</v>
      </c>
      <c r="AB49" s="1240">
        <f>SUM(AB50:AB53)</f>
        <v>0</v>
      </c>
      <c r="AC49" s="1240">
        <f>SUM(AC50:AC53)</f>
        <v>0</v>
      </c>
      <c r="AD49" s="1240">
        <f>SUM(AD50:AD53)</f>
        <v>0</v>
      </c>
      <c r="AE49" s="2443"/>
      <c r="AF49" s="1240">
        <f>SUM(AG49:AR49)</f>
        <v>0</v>
      </c>
      <c r="AG49" s="1240">
        <f>SUM(AG50:AG53)</f>
        <v>0</v>
      </c>
      <c r="AH49" s="1240">
        <f>SUM(AH50:AH53)</f>
        <v>0</v>
      </c>
      <c r="AI49" s="1240">
        <f>SUM(AI50:AI53)</f>
        <v>0</v>
      </c>
      <c r="AJ49" s="1240">
        <f>SUM(AJ50:AJ53)</f>
        <v>0</v>
      </c>
      <c r="AK49" s="1240">
        <f>SUM(AK50:AK53)</f>
        <v>0</v>
      </c>
      <c r="AL49" s="1240">
        <f>SUM(AL50:AL53)</f>
        <v>0</v>
      </c>
      <c r="AM49" s="1240">
        <f>SUM(AM50:AM53)</f>
        <v>0</v>
      </c>
      <c r="AN49" s="1240">
        <f>SUM(AN50:AN53)</f>
        <v>0</v>
      </c>
      <c r="AO49" s="1240">
        <f>SUM(AO50:AO53)</f>
        <v>0</v>
      </c>
      <c r="AP49" s="1240">
        <f>SUM(AP50:AP53)</f>
        <v>0</v>
      </c>
      <c r="AQ49" s="1240">
        <f>SUM(AQ50:AQ53)</f>
        <v>0</v>
      </c>
      <c r="AR49" s="2443"/>
      <c r="AS49" s="1240">
        <f>SUM(AT49:BB49)</f>
        <v>0</v>
      </c>
      <c r="AT49" s="1240">
        <f>SUM(AT50:AT53)</f>
        <v>0</v>
      </c>
      <c r="AU49" s="1240">
        <f>SUM(AU50:AU53)</f>
        <v>0</v>
      </c>
      <c r="AV49" s="1240">
        <f>SUM(AV50:AV53)</f>
        <v>0</v>
      </c>
      <c r="AW49" s="1240">
        <f>SUM(AW50:AW53)</f>
        <v>0</v>
      </c>
      <c r="AX49" s="1240">
        <f>SUM(AX50:AX53)</f>
        <v>0</v>
      </c>
      <c r="AY49" s="1240">
        <f>SUM(AY50:AY53)</f>
        <v>0</v>
      </c>
      <c r="AZ49" s="1240">
        <f>SUM(AZ50:AZ53)</f>
        <v>0</v>
      </c>
      <c r="BA49" s="1240">
        <f>SUM(BA50:BA53)</f>
        <v>0</v>
      </c>
      <c r="BB49" s="2443"/>
      <c r="BC49" s="1240">
        <f>SUM(BD49:BL49)</f>
        <v>0</v>
      </c>
      <c r="BD49" s="1240">
        <f>SUM(BD50:BD53)</f>
        <v>0</v>
      </c>
      <c r="BE49" s="1240">
        <f>SUM(BE50:BE53)</f>
        <v>0</v>
      </c>
      <c r="BF49" s="1240">
        <f>SUM(BF50:BF53)</f>
        <v>0</v>
      </c>
      <c r="BG49" s="1240">
        <f>SUM(BG50:BG53)</f>
        <v>0</v>
      </c>
      <c r="BH49" s="1240">
        <f>SUM(BH50:BH53)</f>
        <v>0</v>
      </c>
      <c r="BI49" s="1240">
        <f>SUM(BI50:BI53)</f>
        <v>0</v>
      </c>
      <c r="BJ49" s="1240">
        <f>SUM(BJ50:BJ53)</f>
        <v>0</v>
      </c>
      <c r="BK49" s="1240">
        <f>SUM(BK50:BK53)</f>
        <v>0</v>
      </c>
      <c r="BL49" s="2443"/>
      <c r="BM49" s="1240">
        <f>SUM(BN49:BV49)</f>
        <v>0</v>
      </c>
      <c r="BN49" s="1240">
        <f>SUM(BN50:BN53)</f>
        <v>0</v>
      </c>
      <c r="BO49" s="1240">
        <f>SUM(BO50:BO53)</f>
        <v>0</v>
      </c>
      <c r="BP49" s="1240">
        <f>SUM(BP50:BP53)</f>
        <v>0</v>
      </c>
      <c r="BQ49" s="1240">
        <f>SUM(BQ50:BQ53)</f>
        <v>0</v>
      </c>
      <c r="BR49" s="1240">
        <f>SUM(BR50:BR53)</f>
        <v>0</v>
      </c>
      <c r="BS49" s="1240">
        <f>SUM(BS50:BS53)</f>
        <v>0</v>
      </c>
      <c r="BT49" s="1240">
        <f>SUM(BT50:BT53)</f>
        <v>0</v>
      </c>
      <c r="BU49" s="1240">
        <f>SUM(BU50:BU53)</f>
        <v>0</v>
      </c>
      <c r="BV49" s="2443"/>
      <c r="BW49" s="1240">
        <f>SUM(BX49:CG49)</f>
        <v>0</v>
      </c>
      <c r="BX49" s="1240">
        <f>SUM(BX50:BX53)</f>
        <v>0</v>
      </c>
      <c r="BY49" s="1240">
        <f>SUM(BY50:BY53)</f>
        <v>0</v>
      </c>
      <c r="BZ49" s="1240">
        <f>SUM(BZ50:BZ53)</f>
        <v>0</v>
      </c>
      <c r="CA49" s="1240">
        <f>SUM(CA50:CA53)</f>
        <v>0</v>
      </c>
      <c r="CB49" s="1240">
        <f>SUM(CB50:CB53)</f>
        <v>0</v>
      </c>
      <c r="CC49" s="1240">
        <f>SUM(CC50:CC53)</f>
        <v>0</v>
      </c>
      <c r="CD49" s="1240">
        <f>SUM(CD50:CD53)</f>
        <v>0</v>
      </c>
      <c r="CE49" s="1240">
        <f>SUM(CE50:CE53)</f>
        <v>0</v>
      </c>
      <c r="CF49" s="1240">
        <f>SUM(CF50:CF53)</f>
        <v>0</v>
      </c>
      <c r="CG49" s="2443"/>
      <c r="CH49" s="1240">
        <f>SUM(CI49:CQ49)</f>
        <v>0</v>
      </c>
      <c r="CI49" s="1240">
        <f>SUM(CI50:CI53)</f>
        <v>0</v>
      </c>
      <c r="CJ49" s="1240">
        <f>SUM(CJ50:CJ53)</f>
        <v>0</v>
      </c>
      <c r="CK49" s="1240">
        <f>SUM(CK50:CK53)</f>
        <v>0</v>
      </c>
      <c r="CL49" s="1240">
        <f>SUM(CL50:CL53)</f>
        <v>0</v>
      </c>
      <c r="CM49" s="1240">
        <f>SUM(CM50:CM53)</f>
        <v>0</v>
      </c>
      <c r="CN49" s="1240">
        <f>SUM(CN50:CN53)</f>
        <v>0</v>
      </c>
      <c r="CO49" s="1240">
        <f>SUM(CO50:CO53)</f>
        <v>0</v>
      </c>
      <c r="CP49" s="1240">
        <f>SUM(CP50:CP53)</f>
        <v>0</v>
      </c>
      <c r="CQ49" s="2443"/>
      <c r="CR49" s="1240">
        <f>SUM(CS49:CV49)</f>
        <v>0</v>
      </c>
      <c r="CS49" s="1240">
        <f>SUM(CS50:CS53)</f>
        <v>0</v>
      </c>
      <c r="CT49" s="1240">
        <f>SUM(CT50:CT53)</f>
        <v>0</v>
      </c>
      <c r="CU49" s="1240">
        <f>SUM(CU50:CU53)</f>
        <v>0</v>
      </c>
      <c r="CV49" s="2443"/>
      <c r="CW49" s="1240">
        <f>SUM(CX49:DE49)</f>
        <v>0</v>
      </c>
      <c r="CX49" s="1240">
        <f>SUM(CX50:CX53)</f>
        <v>0</v>
      </c>
      <c r="CY49" s="1240">
        <f>SUM(CY50:CY53)</f>
        <v>0</v>
      </c>
      <c r="CZ49" s="1240">
        <f>SUM(CZ50:CZ53)</f>
        <v>0</v>
      </c>
      <c r="DA49" s="1240">
        <f>SUM(DA50:DA53)</f>
        <v>0</v>
      </c>
      <c r="DB49" s="1240">
        <f>SUM(DB50:DB53)</f>
        <v>0</v>
      </c>
      <c r="DC49" s="1240">
        <f>SUM(DC50:DC53)</f>
        <v>0</v>
      </c>
      <c r="DD49" s="1240">
        <f>SUM(DD50:DD53)</f>
        <v>0</v>
      </c>
      <c r="DE49" s="2443"/>
      <c r="DF49" s="1238"/>
      <c r="DR49" s="1159">
        <v>11</v>
      </c>
    </row>
    <row customHeight="1" ht="24">
      <c r="F50" s="1234" t="s">
        <v>894</v>
      </c>
      <c r="G50" s="1242" t="s">
        <v>1389</v>
      </c>
      <c r="H50" s="1240">
        <f>SUM(I50:J50)</f>
        <v>0</v>
      </c>
      <c r="I50" s="1239"/>
      <c r="J50" s="1229"/>
      <c r="K50" s="1240">
        <f>SUM(L50:S50)</f>
        <v>0</v>
      </c>
      <c r="L50" s="1239"/>
      <c r="M50" s="1239"/>
      <c r="N50" s="1239"/>
      <c r="O50" s="1239"/>
      <c r="P50" s="1239"/>
      <c r="Q50" s="1239"/>
      <c r="R50" s="1239"/>
      <c r="S50" s="2443"/>
      <c r="T50" s="1240">
        <f>SUM(U50:AE50)</f>
        <v>0</v>
      </c>
      <c r="U50" s="1239"/>
      <c r="V50" s="1239"/>
      <c r="W50" s="1239"/>
      <c r="X50" s="1239"/>
      <c r="Y50" s="1239"/>
      <c r="Z50" s="1239"/>
      <c r="AA50" s="1239"/>
      <c r="AB50" s="1239"/>
      <c r="AC50" s="1239"/>
      <c r="AD50" s="1239"/>
      <c r="AE50" s="2443"/>
      <c r="AF50" s="1240">
        <f>SUM(AG50:AR50)</f>
        <v>0</v>
      </c>
      <c r="AG50" s="1239"/>
      <c r="AH50" s="1239"/>
      <c r="AI50" s="1239"/>
      <c r="AJ50" s="1239"/>
      <c r="AK50" s="1239"/>
      <c r="AL50" s="1239"/>
      <c r="AM50" s="1239"/>
      <c r="AN50" s="1239"/>
      <c r="AO50" s="1239"/>
      <c r="AP50" s="1239"/>
      <c r="AQ50" s="1239"/>
      <c r="AR50" s="2443"/>
      <c r="AS50" s="1240">
        <f>SUM(AT50:BB50)</f>
        <v>0</v>
      </c>
      <c r="AT50" s="1239"/>
      <c r="AU50" s="1239"/>
      <c r="AV50" s="1239"/>
      <c r="AW50" s="1239"/>
      <c r="AX50" s="1239"/>
      <c r="AY50" s="1239"/>
      <c r="AZ50" s="1239"/>
      <c r="BA50" s="1239"/>
      <c r="BB50" s="2443"/>
      <c r="BC50" s="1240">
        <f>SUM(BD50:BL50)</f>
        <v>0</v>
      </c>
      <c r="BD50" s="1239"/>
      <c r="BE50" s="1239"/>
      <c r="BF50" s="1239"/>
      <c r="BG50" s="1239"/>
      <c r="BH50" s="1239"/>
      <c r="BI50" s="1239"/>
      <c r="BJ50" s="1239"/>
      <c r="BK50" s="1239"/>
      <c r="BL50" s="2443"/>
      <c r="BM50" s="1240">
        <f>SUM(BN50:BV50)</f>
        <v>0</v>
      </c>
      <c r="BN50" s="1239"/>
      <c r="BO50" s="1239"/>
      <c r="BP50" s="1239"/>
      <c r="BQ50" s="1239"/>
      <c r="BR50" s="1239"/>
      <c r="BS50" s="1239"/>
      <c r="BT50" s="1239"/>
      <c r="BU50" s="1239"/>
      <c r="BV50" s="2443"/>
      <c r="BW50" s="1240">
        <f>SUM(BX50:CG50)</f>
        <v>0</v>
      </c>
      <c r="BX50" s="1239"/>
      <c r="BY50" s="1239"/>
      <c r="BZ50" s="1239"/>
      <c r="CA50" s="1239"/>
      <c r="CB50" s="1239"/>
      <c r="CC50" s="1239"/>
      <c r="CD50" s="1239"/>
      <c r="CE50" s="1239"/>
      <c r="CF50" s="1239"/>
      <c r="CG50" s="2443"/>
      <c r="CH50" s="1240">
        <f>SUM(CI50:CQ50)</f>
        <v>0</v>
      </c>
      <c r="CI50" s="1239"/>
      <c r="CJ50" s="1239"/>
      <c r="CK50" s="1239"/>
      <c r="CL50" s="1239"/>
      <c r="CM50" s="1239"/>
      <c r="CN50" s="1239"/>
      <c r="CO50" s="1239"/>
      <c r="CP50" s="1239"/>
      <c r="CQ50" s="2443"/>
      <c r="CR50" s="1240">
        <f>SUM(CS50:CV50)</f>
        <v>0</v>
      </c>
      <c r="CS50" s="1239"/>
      <c r="CT50" s="1239"/>
      <c r="CU50" s="1239"/>
      <c r="CV50" s="2443"/>
      <c r="CW50" s="1240">
        <f>SUM(CX50:DE50)</f>
        <v>0</v>
      </c>
      <c r="CX50" s="1239"/>
      <c r="CY50" s="1239"/>
      <c r="CZ50" s="1239"/>
      <c r="DA50" s="1239"/>
      <c r="DB50" s="1239"/>
      <c r="DC50" s="1239"/>
      <c r="DD50" s="1239"/>
      <c r="DE50" s="2443"/>
      <c r="DF50" s="1238"/>
      <c r="DR50" s="1159">
        <v>23</v>
      </c>
    </row>
    <row customHeight="1" ht="11.549999999999999">
      <c r="F51" s="1234" t="s">
        <v>897</v>
      </c>
      <c r="G51" s="1242" t="s">
        <v>1391</v>
      </c>
      <c r="H51" s="1240">
        <f>SUM(I51:J51)</f>
        <v>0</v>
      </c>
      <c r="I51" s="1239"/>
      <c r="J51" s="1229"/>
      <c r="K51" s="1240">
        <f>SUM(L51:S51)</f>
        <v>0</v>
      </c>
      <c r="L51" s="1239"/>
      <c r="M51" s="1239"/>
      <c r="N51" s="1239"/>
      <c r="O51" s="1239"/>
      <c r="P51" s="1239"/>
      <c r="Q51" s="1239"/>
      <c r="R51" s="1239"/>
      <c r="S51" s="2443"/>
      <c r="T51" s="1240">
        <f>SUM(U51:AE51)</f>
        <v>0</v>
      </c>
      <c r="U51" s="1239"/>
      <c r="V51" s="1239"/>
      <c r="W51" s="1239"/>
      <c r="X51" s="1239"/>
      <c r="Y51" s="1239"/>
      <c r="Z51" s="1239"/>
      <c r="AA51" s="1239"/>
      <c r="AB51" s="1239"/>
      <c r="AC51" s="1239"/>
      <c r="AD51" s="1239"/>
      <c r="AE51" s="2443"/>
      <c r="AF51" s="1240">
        <f>SUM(AG51:AR51)</f>
        <v>0</v>
      </c>
      <c r="AG51" s="1239"/>
      <c r="AH51" s="1239"/>
      <c r="AI51" s="1239"/>
      <c r="AJ51" s="1239"/>
      <c r="AK51" s="1239"/>
      <c r="AL51" s="1239"/>
      <c r="AM51" s="1239"/>
      <c r="AN51" s="1239"/>
      <c r="AO51" s="1239"/>
      <c r="AP51" s="1239"/>
      <c r="AQ51" s="1239"/>
      <c r="AR51" s="2443"/>
      <c r="AS51" s="1240">
        <f>SUM(AT51:BB51)</f>
        <v>0</v>
      </c>
      <c r="AT51" s="1239"/>
      <c r="AU51" s="1239"/>
      <c r="AV51" s="1239"/>
      <c r="AW51" s="1239"/>
      <c r="AX51" s="1239"/>
      <c r="AY51" s="1239"/>
      <c r="AZ51" s="1239"/>
      <c r="BA51" s="1239"/>
      <c r="BB51" s="2443"/>
      <c r="BC51" s="1240">
        <f>SUM(BD51:BL51)</f>
        <v>0</v>
      </c>
      <c r="BD51" s="1239"/>
      <c r="BE51" s="1239"/>
      <c r="BF51" s="1239"/>
      <c r="BG51" s="1239"/>
      <c r="BH51" s="1239"/>
      <c r="BI51" s="1239"/>
      <c r="BJ51" s="1239"/>
      <c r="BK51" s="1239"/>
      <c r="BL51" s="2443"/>
      <c r="BM51" s="1240">
        <f>SUM(BN51:BV51)</f>
        <v>0</v>
      </c>
      <c r="BN51" s="1239"/>
      <c r="BO51" s="1239"/>
      <c r="BP51" s="1239"/>
      <c r="BQ51" s="1239"/>
      <c r="BR51" s="1239"/>
      <c r="BS51" s="1239"/>
      <c r="BT51" s="1239"/>
      <c r="BU51" s="1239"/>
      <c r="BV51" s="2443"/>
      <c r="BW51" s="1240">
        <f>SUM(BX51:CG51)</f>
        <v>0</v>
      </c>
      <c r="BX51" s="1239"/>
      <c r="BY51" s="1239"/>
      <c r="BZ51" s="1239"/>
      <c r="CA51" s="1239"/>
      <c r="CB51" s="1239"/>
      <c r="CC51" s="1239"/>
      <c r="CD51" s="1239"/>
      <c r="CE51" s="1239"/>
      <c r="CF51" s="1239"/>
      <c r="CG51" s="2443"/>
      <c r="CH51" s="1240">
        <f>SUM(CI51:CQ51)</f>
        <v>0</v>
      </c>
      <c r="CI51" s="1239"/>
      <c r="CJ51" s="1239"/>
      <c r="CK51" s="1239"/>
      <c r="CL51" s="1239"/>
      <c r="CM51" s="1239"/>
      <c r="CN51" s="1239"/>
      <c r="CO51" s="1239"/>
      <c r="CP51" s="1239"/>
      <c r="CQ51" s="2443"/>
      <c r="CR51" s="1240">
        <f>SUM(CS51:CV51)</f>
        <v>0</v>
      </c>
      <c r="CS51" s="1239"/>
      <c r="CT51" s="1239"/>
      <c r="CU51" s="1239"/>
      <c r="CV51" s="2443"/>
      <c r="CW51" s="1240">
        <f>SUM(CX51:DE51)</f>
        <v>0</v>
      </c>
      <c r="CX51" s="1239"/>
      <c r="CY51" s="1239"/>
      <c r="CZ51" s="1239"/>
      <c r="DA51" s="1239"/>
      <c r="DB51" s="1239"/>
      <c r="DC51" s="1239"/>
      <c r="DD51" s="1239"/>
      <c r="DE51" s="2443"/>
      <c r="DF51" s="1238"/>
      <c r="DR51" s="1159">
        <v>11</v>
      </c>
    </row>
    <row customHeight="1" ht="11.549999999999999">
      <c r="F52" s="1234" t="s">
        <v>1400</v>
      </c>
      <c r="G52" s="1242" t="s">
        <v>1393</v>
      </c>
      <c r="H52" s="1240">
        <f>SUM(I52:J52)</f>
        <v>0</v>
      </c>
      <c r="I52" s="1239"/>
      <c r="J52" s="1229"/>
      <c r="K52" s="1240">
        <f>SUM(L52:S52)</f>
        <v>0</v>
      </c>
      <c r="L52" s="1239"/>
      <c r="M52" s="1239"/>
      <c r="N52" s="1239"/>
      <c r="O52" s="1239"/>
      <c r="P52" s="1239"/>
      <c r="Q52" s="1239"/>
      <c r="R52" s="1239"/>
      <c r="S52" s="2443"/>
      <c r="T52" s="1240">
        <f>SUM(U52:AE52)</f>
        <v>0</v>
      </c>
      <c r="U52" s="1239"/>
      <c r="V52" s="1239"/>
      <c r="W52" s="1239"/>
      <c r="X52" s="1239"/>
      <c r="Y52" s="1239"/>
      <c r="Z52" s="1239"/>
      <c r="AA52" s="1239"/>
      <c r="AB52" s="1239"/>
      <c r="AC52" s="1239"/>
      <c r="AD52" s="1239"/>
      <c r="AE52" s="2443"/>
      <c r="AF52" s="1240">
        <f>SUM(AG52:AR52)</f>
        <v>0</v>
      </c>
      <c r="AG52" s="1239"/>
      <c r="AH52" s="1239"/>
      <c r="AI52" s="1239"/>
      <c r="AJ52" s="1239"/>
      <c r="AK52" s="1239"/>
      <c r="AL52" s="1239"/>
      <c r="AM52" s="1239"/>
      <c r="AN52" s="1239"/>
      <c r="AO52" s="1239"/>
      <c r="AP52" s="1239"/>
      <c r="AQ52" s="1239"/>
      <c r="AR52" s="2443"/>
      <c r="AS52" s="1240">
        <f>SUM(AT52:BB52)</f>
        <v>0</v>
      </c>
      <c r="AT52" s="1239"/>
      <c r="AU52" s="1239"/>
      <c r="AV52" s="1239"/>
      <c r="AW52" s="1239"/>
      <c r="AX52" s="1239"/>
      <c r="AY52" s="1239"/>
      <c r="AZ52" s="1239"/>
      <c r="BA52" s="1239"/>
      <c r="BB52" s="2443"/>
      <c r="BC52" s="1240">
        <f>SUM(BD52:BL52)</f>
        <v>0</v>
      </c>
      <c r="BD52" s="1239"/>
      <c r="BE52" s="1239"/>
      <c r="BF52" s="1239"/>
      <c r="BG52" s="1239"/>
      <c r="BH52" s="1239"/>
      <c r="BI52" s="1239"/>
      <c r="BJ52" s="1239"/>
      <c r="BK52" s="1239"/>
      <c r="BL52" s="2443"/>
      <c r="BM52" s="1240">
        <f>SUM(BN52:BV52)</f>
        <v>0</v>
      </c>
      <c r="BN52" s="1239"/>
      <c r="BO52" s="1239"/>
      <c r="BP52" s="1239"/>
      <c r="BQ52" s="1239"/>
      <c r="BR52" s="1239"/>
      <c r="BS52" s="1239"/>
      <c r="BT52" s="1239"/>
      <c r="BU52" s="1239"/>
      <c r="BV52" s="2443"/>
      <c r="BW52" s="1240">
        <f>SUM(BX52:CG52)</f>
        <v>0</v>
      </c>
      <c r="BX52" s="1239"/>
      <c r="BY52" s="1239"/>
      <c r="BZ52" s="1239"/>
      <c r="CA52" s="1239"/>
      <c r="CB52" s="1239"/>
      <c r="CC52" s="1239"/>
      <c r="CD52" s="1239"/>
      <c r="CE52" s="1239"/>
      <c r="CF52" s="1239"/>
      <c r="CG52" s="2443"/>
      <c r="CH52" s="1240">
        <f>SUM(CI52:CQ52)</f>
        <v>0</v>
      </c>
      <c r="CI52" s="1239"/>
      <c r="CJ52" s="1239"/>
      <c r="CK52" s="1239"/>
      <c r="CL52" s="1239"/>
      <c r="CM52" s="1239"/>
      <c r="CN52" s="1239"/>
      <c r="CO52" s="1239"/>
      <c r="CP52" s="1239"/>
      <c r="CQ52" s="2443"/>
      <c r="CR52" s="1240">
        <f>SUM(CS52:CV52)</f>
        <v>0</v>
      </c>
      <c r="CS52" s="1239"/>
      <c r="CT52" s="1239"/>
      <c r="CU52" s="1239"/>
      <c r="CV52" s="2443"/>
      <c r="CW52" s="1240">
        <f>SUM(CX52:DE52)</f>
        <v>0</v>
      </c>
      <c r="CX52" s="1239"/>
      <c r="CY52" s="1239"/>
      <c r="CZ52" s="1239"/>
      <c r="DA52" s="1239"/>
      <c r="DB52" s="1239"/>
      <c r="DC52" s="1239"/>
      <c r="DD52" s="1239"/>
      <c r="DE52" s="2443"/>
      <c r="DF52" s="1238"/>
      <c r="DR52" s="1159">
        <v>11</v>
      </c>
    </row>
    <row customHeight="1" ht="35.699999999999996">
      <c r="F53" s="1234" t="s">
        <v>1401</v>
      </c>
      <c r="G53" s="1242" t="s">
        <v>1395</v>
      </c>
      <c r="H53" s="1240">
        <f>SUM(I53:J53)</f>
        <v>0</v>
      </c>
      <c r="I53" s="1239"/>
      <c r="J53" s="1229"/>
      <c r="K53" s="1240">
        <f>SUM(L53:S53)</f>
        <v>0</v>
      </c>
      <c r="L53" s="1239"/>
      <c r="M53" s="1239"/>
      <c r="N53" s="1239"/>
      <c r="O53" s="1239"/>
      <c r="P53" s="1239"/>
      <c r="Q53" s="1239"/>
      <c r="R53" s="1239"/>
      <c r="S53" s="2443"/>
      <c r="T53" s="1240">
        <f>SUM(U53:AE53)</f>
        <v>0</v>
      </c>
      <c r="U53" s="1239"/>
      <c r="V53" s="1239"/>
      <c r="W53" s="1239"/>
      <c r="X53" s="1239"/>
      <c r="Y53" s="1239"/>
      <c r="Z53" s="1239"/>
      <c r="AA53" s="1239"/>
      <c r="AB53" s="1239"/>
      <c r="AC53" s="1239"/>
      <c r="AD53" s="1239"/>
      <c r="AE53" s="2443"/>
      <c r="AF53" s="1240">
        <f>SUM(AG53:AR53)</f>
        <v>0</v>
      </c>
      <c r="AG53" s="1239"/>
      <c r="AH53" s="1239"/>
      <c r="AI53" s="1239"/>
      <c r="AJ53" s="1239"/>
      <c r="AK53" s="1239"/>
      <c r="AL53" s="1239"/>
      <c r="AM53" s="1239"/>
      <c r="AN53" s="1239"/>
      <c r="AO53" s="1239"/>
      <c r="AP53" s="1239"/>
      <c r="AQ53" s="1239"/>
      <c r="AR53" s="2443"/>
      <c r="AS53" s="1240">
        <f>SUM(AT53:BB53)</f>
        <v>0</v>
      </c>
      <c r="AT53" s="1239"/>
      <c r="AU53" s="1239"/>
      <c r="AV53" s="1239"/>
      <c r="AW53" s="1239"/>
      <c r="AX53" s="1239"/>
      <c r="AY53" s="1239"/>
      <c r="AZ53" s="1239"/>
      <c r="BA53" s="1239"/>
      <c r="BB53" s="2443"/>
      <c r="BC53" s="1240">
        <f>SUM(BD53:BL53)</f>
        <v>0</v>
      </c>
      <c r="BD53" s="1239"/>
      <c r="BE53" s="1239"/>
      <c r="BF53" s="1239"/>
      <c r="BG53" s="1239"/>
      <c r="BH53" s="1239"/>
      <c r="BI53" s="1239"/>
      <c r="BJ53" s="1239"/>
      <c r="BK53" s="1239"/>
      <c r="BL53" s="2443"/>
      <c r="BM53" s="1240">
        <f>SUM(BN53:BV53)</f>
        <v>0</v>
      </c>
      <c r="BN53" s="1239"/>
      <c r="BO53" s="1239"/>
      <c r="BP53" s="1239"/>
      <c r="BQ53" s="1239"/>
      <c r="BR53" s="1239"/>
      <c r="BS53" s="1239"/>
      <c r="BT53" s="1239"/>
      <c r="BU53" s="1239"/>
      <c r="BV53" s="2443"/>
      <c r="BW53" s="1240">
        <f>SUM(BX53:CG53)</f>
        <v>0</v>
      </c>
      <c r="BX53" s="1239"/>
      <c r="BY53" s="1239"/>
      <c r="BZ53" s="1239"/>
      <c r="CA53" s="1239"/>
      <c r="CB53" s="1239"/>
      <c r="CC53" s="1239"/>
      <c r="CD53" s="1239"/>
      <c r="CE53" s="1239"/>
      <c r="CF53" s="1239"/>
      <c r="CG53" s="2443"/>
      <c r="CH53" s="1240">
        <f>SUM(CI53:CQ53)</f>
        <v>0</v>
      </c>
      <c r="CI53" s="1239"/>
      <c r="CJ53" s="1239"/>
      <c r="CK53" s="1239"/>
      <c r="CL53" s="1239"/>
      <c r="CM53" s="1239"/>
      <c r="CN53" s="1239"/>
      <c r="CO53" s="1239"/>
      <c r="CP53" s="1239"/>
      <c r="CQ53" s="2443"/>
      <c r="CR53" s="1240">
        <f>SUM(CS53:CV53)</f>
        <v>0</v>
      </c>
      <c r="CS53" s="1239"/>
      <c r="CT53" s="1239"/>
      <c r="CU53" s="1239"/>
      <c r="CV53" s="2443"/>
      <c r="CW53" s="1240">
        <f>SUM(CX53:DE53)</f>
        <v>0</v>
      </c>
      <c r="CX53" s="1239"/>
      <c r="CY53" s="1239"/>
      <c r="CZ53" s="1239"/>
      <c r="DA53" s="1239"/>
      <c r="DB53" s="1239"/>
      <c r="DC53" s="1239"/>
      <c r="DD53" s="1239"/>
      <c r="DE53" s="2443"/>
      <c r="DF53" s="1238"/>
      <c r="DR53" s="1159">
        <v>34</v>
      </c>
    </row>
    <row customHeight="1" ht="11.549999999999999">
      <c r="F54" s="1234" t="s">
        <v>445</v>
      </c>
      <c r="G54" s="1241" t="s">
        <v>1380</v>
      </c>
      <c r="H54" s="1240">
        <f>SUM(I54:J54)</f>
        <v>0</v>
      </c>
      <c r="I54" s="1240">
        <f>SUM(I55:I56)</f>
        <v>0</v>
      </c>
      <c r="J54" s="1229"/>
      <c r="K54" s="1240">
        <f>SUM(L54:S54)</f>
        <v>0</v>
      </c>
      <c r="L54" s="1240">
        <f>SUM(L55:L56)</f>
        <v>0</v>
      </c>
      <c r="M54" s="1240">
        <f>SUM(M55:M56)</f>
        <v>0</v>
      </c>
      <c r="N54" s="1240">
        <f>SUM(N55:N56)</f>
        <v>0</v>
      </c>
      <c r="O54" s="1240">
        <f>SUM(O55:O56)</f>
        <v>0</v>
      </c>
      <c r="P54" s="1240">
        <f>SUM(P55:P56)</f>
        <v>0</v>
      </c>
      <c r="Q54" s="1240">
        <f>SUM(Q55:Q56)</f>
        <v>0</v>
      </c>
      <c r="R54" s="1240">
        <f>SUM(R55:R56)</f>
        <v>0</v>
      </c>
      <c r="S54" s="2443"/>
      <c r="T54" s="1240">
        <f>SUM(U54:AE54)</f>
        <v>0</v>
      </c>
      <c r="U54" s="1240">
        <f>SUM(U55:U56)</f>
        <v>0</v>
      </c>
      <c r="V54" s="1240">
        <f>SUM(V55:V56)</f>
        <v>0</v>
      </c>
      <c r="W54" s="1240">
        <f>SUM(W55:W56)</f>
        <v>0</v>
      </c>
      <c r="X54" s="1240">
        <f>SUM(X55:X56)</f>
        <v>0</v>
      </c>
      <c r="Y54" s="1240">
        <f>SUM(Y55:Y56)</f>
        <v>0</v>
      </c>
      <c r="Z54" s="1240">
        <f>SUM(Z55:Z56)</f>
        <v>0</v>
      </c>
      <c r="AA54" s="1240">
        <f>SUM(AA55:AA56)</f>
        <v>0</v>
      </c>
      <c r="AB54" s="1240">
        <f>SUM(AB55:AB56)</f>
        <v>0</v>
      </c>
      <c r="AC54" s="1240">
        <f>SUM(AC55:AC56)</f>
        <v>0</v>
      </c>
      <c r="AD54" s="1240">
        <f>SUM(AD55:AD56)</f>
        <v>0</v>
      </c>
      <c r="AE54" s="2443"/>
      <c r="AF54" s="1240">
        <f>SUM(AG54:AR54)</f>
        <v>0</v>
      </c>
      <c r="AG54" s="1240">
        <f>SUM(AG55:AG56)</f>
        <v>0</v>
      </c>
      <c r="AH54" s="1240">
        <f>SUM(AH55:AH56)</f>
        <v>0</v>
      </c>
      <c r="AI54" s="1240">
        <f>SUM(AI55:AI56)</f>
        <v>0</v>
      </c>
      <c r="AJ54" s="1240">
        <f>SUM(AJ55:AJ56)</f>
        <v>0</v>
      </c>
      <c r="AK54" s="1240">
        <f>SUM(AK55:AK56)</f>
        <v>0</v>
      </c>
      <c r="AL54" s="1240">
        <f>SUM(AL55:AL56)</f>
        <v>0</v>
      </c>
      <c r="AM54" s="1240">
        <f>SUM(AM55:AM56)</f>
        <v>0</v>
      </c>
      <c r="AN54" s="1240">
        <f>SUM(AN55:AN56)</f>
        <v>0</v>
      </c>
      <c r="AO54" s="1240">
        <f>SUM(AO55:AO56)</f>
        <v>0</v>
      </c>
      <c r="AP54" s="1240">
        <f>SUM(AP55:AP56)</f>
        <v>0</v>
      </c>
      <c r="AQ54" s="1240">
        <f>SUM(AQ55:AQ56)</f>
        <v>0</v>
      </c>
      <c r="AR54" s="2443"/>
      <c r="AS54" s="1240">
        <f>SUM(AT54:BB54)</f>
        <v>0</v>
      </c>
      <c r="AT54" s="1240">
        <f>SUM(AT55:AT56)</f>
        <v>0</v>
      </c>
      <c r="AU54" s="1240">
        <f>SUM(AU55:AU56)</f>
        <v>0</v>
      </c>
      <c r="AV54" s="1240">
        <f>SUM(AV55:AV56)</f>
        <v>0</v>
      </c>
      <c r="AW54" s="1240">
        <f>SUM(AW55:AW56)</f>
        <v>0</v>
      </c>
      <c r="AX54" s="1240">
        <f>SUM(AX55:AX56)</f>
        <v>0</v>
      </c>
      <c r="AY54" s="1240">
        <f>SUM(AY55:AY56)</f>
        <v>0</v>
      </c>
      <c r="AZ54" s="1240">
        <f>SUM(AZ55:AZ56)</f>
        <v>0</v>
      </c>
      <c r="BA54" s="1240">
        <f>SUM(BA55:BA56)</f>
        <v>0</v>
      </c>
      <c r="BB54" s="2443"/>
      <c r="BC54" s="1240">
        <f>SUM(BD54:BL54)</f>
        <v>0</v>
      </c>
      <c r="BD54" s="1240">
        <f>SUM(BD55:BD56)</f>
        <v>0</v>
      </c>
      <c r="BE54" s="1240">
        <f>SUM(BE55:BE56)</f>
        <v>0</v>
      </c>
      <c r="BF54" s="1240">
        <f>SUM(BF55:BF56)</f>
        <v>0</v>
      </c>
      <c r="BG54" s="1240">
        <f>SUM(BG55:BG56)</f>
        <v>0</v>
      </c>
      <c r="BH54" s="1240">
        <f>SUM(BH55:BH56)</f>
        <v>0</v>
      </c>
      <c r="BI54" s="1240">
        <f>SUM(BI55:BI56)</f>
        <v>0</v>
      </c>
      <c r="BJ54" s="1240">
        <f>SUM(BJ55:BJ56)</f>
        <v>0</v>
      </c>
      <c r="BK54" s="1240">
        <f>SUM(BK55:BK56)</f>
        <v>0</v>
      </c>
      <c r="BL54" s="2443"/>
      <c r="BM54" s="1240">
        <f>SUM(BN54:BV54)</f>
        <v>0</v>
      </c>
      <c r="BN54" s="1240">
        <f>SUM(BN55:BN56)</f>
        <v>0</v>
      </c>
      <c r="BO54" s="1240">
        <f>SUM(BO55:BO56)</f>
        <v>0</v>
      </c>
      <c r="BP54" s="1240">
        <f>SUM(BP55:BP56)</f>
        <v>0</v>
      </c>
      <c r="BQ54" s="1240">
        <f>SUM(BQ55:BQ56)</f>
        <v>0</v>
      </c>
      <c r="BR54" s="1240">
        <f>SUM(BR55:BR56)</f>
        <v>0</v>
      </c>
      <c r="BS54" s="1240">
        <f>SUM(BS55:BS56)</f>
        <v>0</v>
      </c>
      <c r="BT54" s="1240">
        <f>SUM(BT55:BT56)</f>
        <v>0</v>
      </c>
      <c r="BU54" s="1240">
        <f>SUM(BU55:BU56)</f>
        <v>0</v>
      </c>
      <c r="BV54" s="2443"/>
      <c r="BW54" s="1240">
        <f>SUM(BX54:CG54)</f>
        <v>0</v>
      </c>
      <c r="BX54" s="1240">
        <f>SUM(BX55:BX56)</f>
        <v>0</v>
      </c>
      <c r="BY54" s="1240">
        <f>SUM(BY55:BY56)</f>
        <v>0</v>
      </c>
      <c r="BZ54" s="1240">
        <f>SUM(BZ55:BZ56)</f>
        <v>0</v>
      </c>
      <c r="CA54" s="1240">
        <f>SUM(CA55:CA56)</f>
        <v>0</v>
      </c>
      <c r="CB54" s="1240">
        <f>SUM(CB55:CB56)</f>
        <v>0</v>
      </c>
      <c r="CC54" s="1240">
        <f>SUM(CC55:CC56)</f>
        <v>0</v>
      </c>
      <c r="CD54" s="1240">
        <f>SUM(CD55:CD56)</f>
        <v>0</v>
      </c>
      <c r="CE54" s="1240">
        <f>SUM(CE55:CE56)</f>
        <v>0</v>
      </c>
      <c r="CF54" s="1240">
        <f>SUM(CF55:CF56)</f>
        <v>0</v>
      </c>
      <c r="CG54" s="2443"/>
      <c r="CH54" s="1240">
        <f>SUM(CI54:CQ54)</f>
        <v>0</v>
      </c>
      <c r="CI54" s="1240">
        <f>SUM(CI55:CI56)</f>
        <v>0</v>
      </c>
      <c r="CJ54" s="1240">
        <f>SUM(CJ55:CJ56)</f>
        <v>0</v>
      </c>
      <c r="CK54" s="1240">
        <f>SUM(CK55:CK56)</f>
        <v>0</v>
      </c>
      <c r="CL54" s="1240">
        <f>SUM(CL55:CL56)</f>
        <v>0</v>
      </c>
      <c r="CM54" s="1240">
        <f>SUM(CM55:CM56)</f>
        <v>0</v>
      </c>
      <c r="CN54" s="1240">
        <f>SUM(CN55:CN56)</f>
        <v>0</v>
      </c>
      <c r="CO54" s="1240">
        <f>SUM(CO55:CO56)</f>
        <v>0</v>
      </c>
      <c r="CP54" s="1240">
        <f>SUM(CP55:CP56)</f>
        <v>0</v>
      </c>
      <c r="CQ54" s="2443"/>
      <c r="CR54" s="1240">
        <f>SUM(CS54:CV54)</f>
        <v>0</v>
      </c>
      <c r="CS54" s="1240">
        <f>SUM(CS55:CS56)</f>
        <v>0</v>
      </c>
      <c r="CT54" s="1240">
        <f>SUM(CT55:CT56)</f>
        <v>0</v>
      </c>
      <c r="CU54" s="1240">
        <f>SUM(CU55:CU56)</f>
        <v>0</v>
      </c>
      <c r="CV54" s="2443"/>
      <c r="CW54" s="1240">
        <f>SUM(CX54:DE54)</f>
        <v>0</v>
      </c>
      <c r="CX54" s="1240">
        <f>SUM(CX55:CX56)</f>
        <v>0</v>
      </c>
      <c r="CY54" s="1240">
        <f>SUM(CY55:CY56)</f>
        <v>0</v>
      </c>
      <c r="CZ54" s="1240">
        <f>SUM(CZ55:CZ56)</f>
        <v>0</v>
      </c>
      <c r="DA54" s="1240">
        <f>SUM(DA55:DA56)</f>
        <v>0</v>
      </c>
      <c r="DB54" s="1240">
        <f>SUM(DB55:DB56)</f>
        <v>0</v>
      </c>
      <c r="DC54" s="1240">
        <f>SUM(DC55:DC56)</f>
        <v>0</v>
      </c>
      <c r="DD54" s="1240">
        <f>SUM(DD55:DD56)</f>
        <v>0</v>
      </c>
      <c r="DE54" s="2443"/>
      <c r="DF54" s="1238"/>
      <c r="DR54" s="1159">
        <v>11</v>
      </c>
    </row>
    <row customHeight="1" ht="48.29999999999999">
      <c r="F55" s="1234" t="s">
        <v>901</v>
      </c>
      <c r="G55" s="1242" t="s">
        <v>1381</v>
      </c>
      <c r="H55" s="1240">
        <f>SUM(I55:J55)</f>
        <v>0</v>
      </c>
      <c r="I55" s="1239"/>
      <c r="J55" s="1229"/>
      <c r="K55" s="1240">
        <f>SUM(L55:S55)</f>
        <v>0</v>
      </c>
      <c r="L55" s="1239"/>
      <c r="M55" s="1239"/>
      <c r="N55" s="1239"/>
      <c r="O55" s="1239"/>
      <c r="P55" s="1239"/>
      <c r="Q55" s="1239"/>
      <c r="R55" s="1239"/>
      <c r="S55" s="2443"/>
      <c r="T55" s="1240">
        <f>SUM(U55:AE55)</f>
        <v>0</v>
      </c>
      <c r="U55" s="1239"/>
      <c r="V55" s="1239"/>
      <c r="W55" s="1239"/>
      <c r="X55" s="1239"/>
      <c r="Y55" s="1239"/>
      <c r="Z55" s="1239"/>
      <c r="AA55" s="1239"/>
      <c r="AB55" s="1239"/>
      <c r="AC55" s="1239"/>
      <c r="AD55" s="1239"/>
      <c r="AE55" s="2443"/>
      <c r="AF55" s="1240">
        <f>SUM(AG55:AR55)</f>
        <v>0</v>
      </c>
      <c r="AG55" s="1239"/>
      <c r="AH55" s="1239"/>
      <c r="AI55" s="1239"/>
      <c r="AJ55" s="1239"/>
      <c r="AK55" s="1239"/>
      <c r="AL55" s="1239"/>
      <c r="AM55" s="1239"/>
      <c r="AN55" s="1239"/>
      <c r="AO55" s="1239"/>
      <c r="AP55" s="1239"/>
      <c r="AQ55" s="1239"/>
      <c r="AR55" s="2443"/>
      <c r="AS55" s="1240">
        <f>SUM(AT55:BB55)</f>
        <v>0</v>
      </c>
      <c r="AT55" s="1239"/>
      <c r="AU55" s="1239"/>
      <c r="AV55" s="1239"/>
      <c r="AW55" s="1239"/>
      <c r="AX55" s="1239"/>
      <c r="AY55" s="1239"/>
      <c r="AZ55" s="1239"/>
      <c r="BA55" s="1239"/>
      <c r="BB55" s="2443"/>
      <c r="BC55" s="1240">
        <f>SUM(BD55:BL55)</f>
        <v>0</v>
      </c>
      <c r="BD55" s="1239"/>
      <c r="BE55" s="1239"/>
      <c r="BF55" s="1239"/>
      <c r="BG55" s="1239"/>
      <c r="BH55" s="1239"/>
      <c r="BI55" s="1239"/>
      <c r="BJ55" s="1239"/>
      <c r="BK55" s="1239"/>
      <c r="BL55" s="2443"/>
      <c r="BM55" s="1240">
        <f>SUM(BN55:BV55)</f>
        <v>0</v>
      </c>
      <c r="BN55" s="1239"/>
      <c r="BO55" s="1239"/>
      <c r="BP55" s="1239"/>
      <c r="BQ55" s="1239"/>
      <c r="BR55" s="1239"/>
      <c r="BS55" s="1239"/>
      <c r="BT55" s="1239"/>
      <c r="BU55" s="1239"/>
      <c r="BV55" s="2443"/>
      <c r="BW55" s="1240">
        <f>SUM(BX55:CG55)</f>
        <v>0</v>
      </c>
      <c r="BX55" s="1239"/>
      <c r="BY55" s="1239"/>
      <c r="BZ55" s="1239"/>
      <c r="CA55" s="1239"/>
      <c r="CB55" s="1239"/>
      <c r="CC55" s="1239"/>
      <c r="CD55" s="1239"/>
      <c r="CE55" s="1239"/>
      <c r="CF55" s="1239"/>
      <c r="CG55" s="2443"/>
      <c r="CH55" s="1240">
        <f>SUM(CI55:CQ55)</f>
        <v>0</v>
      </c>
      <c r="CI55" s="1239"/>
      <c r="CJ55" s="1239"/>
      <c r="CK55" s="1239"/>
      <c r="CL55" s="1239"/>
      <c r="CM55" s="1239"/>
      <c r="CN55" s="1239"/>
      <c r="CO55" s="1239"/>
      <c r="CP55" s="1239"/>
      <c r="CQ55" s="2443"/>
      <c r="CR55" s="1240">
        <f>SUM(CS55:CV55)</f>
        <v>0</v>
      </c>
      <c r="CS55" s="1239"/>
      <c r="CT55" s="1239"/>
      <c r="CU55" s="1239"/>
      <c r="CV55" s="2443"/>
      <c r="CW55" s="1240">
        <f>SUM(CX55:DE55)</f>
        <v>0</v>
      </c>
      <c r="CX55" s="1239"/>
      <c r="CY55" s="1239"/>
      <c r="CZ55" s="1239"/>
      <c r="DA55" s="1239"/>
      <c r="DB55" s="1239"/>
      <c r="DC55" s="1239"/>
      <c r="DD55" s="1239"/>
      <c r="DE55" s="2443"/>
      <c r="DF55" s="1238"/>
      <c r="DR55" s="1159">
        <v>46</v>
      </c>
    </row>
    <row customHeight="1" ht="11.549999999999999">
      <c r="F56" s="1234" t="s">
        <v>903</v>
      </c>
      <c r="G56" s="1242" t="s">
        <v>1382</v>
      </c>
      <c r="H56" s="1240">
        <f>SUM(I56:J56)</f>
        <v>0</v>
      </c>
      <c r="I56" s="1239"/>
      <c r="J56" s="1229"/>
      <c r="K56" s="1240">
        <f>SUM(L56:S56)</f>
        <v>0</v>
      </c>
      <c r="L56" s="1239"/>
      <c r="M56" s="1239"/>
      <c r="N56" s="1239"/>
      <c r="O56" s="1239"/>
      <c r="P56" s="1239"/>
      <c r="Q56" s="1239"/>
      <c r="R56" s="1239"/>
      <c r="S56" s="2443"/>
      <c r="T56" s="1240">
        <f>SUM(U56:AE56)</f>
        <v>0</v>
      </c>
      <c r="U56" s="1239"/>
      <c r="V56" s="1239"/>
      <c r="W56" s="1239"/>
      <c r="X56" s="1239"/>
      <c r="Y56" s="1239"/>
      <c r="Z56" s="1239"/>
      <c r="AA56" s="1239"/>
      <c r="AB56" s="1239"/>
      <c r="AC56" s="1239"/>
      <c r="AD56" s="1239"/>
      <c r="AE56" s="2443"/>
      <c r="AF56" s="1240">
        <f>SUM(AG56:AR56)</f>
        <v>0</v>
      </c>
      <c r="AG56" s="1239"/>
      <c r="AH56" s="1239"/>
      <c r="AI56" s="1239"/>
      <c r="AJ56" s="1239"/>
      <c r="AK56" s="1239"/>
      <c r="AL56" s="1239"/>
      <c r="AM56" s="1239"/>
      <c r="AN56" s="1239"/>
      <c r="AO56" s="1239"/>
      <c r="AP56" s="1239"/>
      <c r="AQ56" s="1239"/>
      <c r="AR56" s="2443"/>
      <c r="AS56" s="1240">
        <f>SUM(AT56:BB56)</f>
        <v>0</v>
      </c>
      <c r="AT56" s="1239"/>
      <c r="AU56" s="1239"/>
      <c r="AV56" s="1239"/>
      <c r="AW56" s="1239"/>
      <c r="AX56" s="1239"/>
      <c r="AY56" s="1239"/>
      <c r="AZ56" s="1239"/>
      <c r="BA56" s="1239"/>
      <c r="BB56" s="2443"/>
      <c r="BC56" s="1240">
        <f>SUM(BD56:BL56)</f>
        <v>0</v>
      </c>
      <c r="BD56" s="1239"/>
      <c r="BE56" s="1239"/>
      <c r="BF56" s="1239"/>
      <c r="BG56" s="1239"/>
      <c r="BH56" s="1239"/>
      <c r="BI56" s="1239"/>
      <c r="BJ56" s="1239"/>
      <c r="BK56" s="1239"/>
      <c r="BL56" s="2443"/>
      <c r="BM56" s="1240">
        <f>SUM(BN56:BV56)</f>
        <v>0</v>
      </c>
      <c r="BN56" s="1239"/>
      <c r="BO56" s="1239"/>
      <c r="BP56" s="1239"/>
      <c r="BQ56" s="1239"/>
      <c r="BR56" s="1239"/>
      <c r="BS56" s="1239"/>
      <c r="BT56" s="1239"/>
      <c r="BU56" s="1239"/>
      <c r="BV56" s="2443"/>
      <c r="BW56" s="1240">
        <f>SUM(BX56:CG56)</f>
        <v>0</v>
      </c>
      <c r="BX56" s="1239"/>
      <c r="BY56" s="1239"/>
      <c r="BZ56" s="1239"/>
      <c r="CA56" s="1239"/>
      <c r="CB56" s="1239"/>
      <c r="CC56" s="1239"/>
      <c r="CD56" s="1239"/>
      <c r="CE56" s="1239"/>
      <c r="CF56" s="1239"/>
      <c r="CG56" s="2443"/>
      <c r="CH56" s="1240">
        <f>SUM(CI56:CQ56)</f>
        <v>0</v>
      </c>
      <c r="CI56" s="1239"/>
      <c r="CJ56" s="1239"/>
      <c r="CK56" s="1239"/>
      <c r="CL56" s="1239"/>
      <c r="CM56" s="1239"/>
      <c r="CN56" s="1239"/>
      <c r="CO56" s="1239"/>
      <c r="CP56" s="1239"/>
      <c r="CQ56" s="2443"/>
      <c r="CR56" s="1240">
        <f>SUM(CS56:CV56)</f>
        <v>0</v>
      </c>
      <c r="CS56" s="1239"/>
      <c r="CT56" s="1239"/>
      <c r="CU56" s="1239"/>
      <c r="CV56" s="2443"/>
      <c r="CW56" s="1240">
        <f>SUM(CX56:DE56)</f>
        <v>0</v>
      </c>
      <c r="CX56" s="1239"/>
      <c r="CY56" s="1239"/>
      <c r="CZ56" s="1239"/>
      <c r="DA56" s="1239"/>
      <c r="DB56" s="1239"/>
      <c r="DC56" s="1239"/>
      <c r="DD56" s="1239"/>
      <c r="DE56" s="2443"/>
      <c r="DF56" s="1238"/>
      <c r="DR56" s="1159">
        <v>11</v>
      </c>
    </row>
    <row customHeight="1" ht="11.549999999999999">
      <c r="F57" s="1234" t="s">
        <v>448</v>
      </c>
      <c r="G57" s="1241" t="s">
        <v>1398</v>
      </c>
      <c r="H57" s="1240">
        <f>SUM(I57:J57)</f>
        <v>0</v>
      </c>
      <c r="I57" s="1239"/>
      <c r="J57" s="1229"/>
      <c r="K57" s="1240">
        <f>SUM(L57:S57)</f>
        <v>0</v>
      </c>
      <c r="L57" s="1239"/>
      <c r="M57" s="1239"/>
      <c r="N57" s="1239"/>
      <c r="O57" s="1239"/>
      <c r="P57" s="1239"/>
      <c r="Q57" s="1239"/>
      <c r="R57" s="1239"/>
      <c r="S57" s="2443"/>
      <c r="T57" s="1240">
        <f>SUM(U57:AE57)</f>
        <v>0</v>
      </c>
      <c r="U57" s="1239"/>
      <c r="V57" s="1239"/>
      <c r="W57" s="1239"/>
      <c r="X57" s="1239"/>
      <c r="Y57" s="1239"/>
      <c r="Z57" s="1239"/>
      <c r="AA57" s="1239"/>
      <c r="AB57" s="1239"/>
      <c r="AC57" s="1239"/>
      <c r="AD57" s="1239"/>
      <c r="AE57" s="2443"/>
      <c r="AF57" s="1240">
        <f>SUM(AG57:AR57)</f>
        <v>0</v>
      </c>
      <c r="AG57" s="1239"/>
      <c r="AH57" s="1239"/>
      <c r="AI57" s="1239"/>
      <c r="AJ57" s="1239"/>
      <c r="AK57" s="1239"/>
      <c r="AL57" s="1239"/>
      <c r="AM57" s="1239"/>
      <c r="AN57" s="1239"/>
      <c r="AO57" s="1239"/>
      <c r="AP57" s="1239"/>
      <c r="AQ57" s="1239"/>
      <c r="AR57" s="2443"/>
      <c r="AS57" s="1240">
        <f>SUM(AT57:BB57)</f>
        <v>0</v>
      </c>
      <c r="AT57" s="1239"/>
      <c r="AU57" s="1239"/>
      <c r="AV57" s="1239"/>
      <c r="AW57" s="1239"/>
      <c r="AX57" s="1239"/>
      <c r="AY57" s="1239"/>
      <c r="AZ57" s="1239"/>
      <c r="BA57" s="1239"/>
      <c r="BB57" s="2443"/>
      <c r="BC57" s="1240">
        <f>SUM(BD57:BL57)</f>
        <v>0</v>
      </c>
      <c r="BD57" s="1239"/>
      <c r="BE57" s="1239"/>
      <c r="BF57" s="1239"/>
      <c r="BG57" s="1239"/>
      <c r="BH57" s="1239"/>
      <c r="BI57" s="1239"/>
      <c r="BJ57" s="1239"/>
      <c r="BK57" s="1239"/>
      <c r="BL57" s="2443"/>
      <c r="BM57" s="1240">
        <f>SUM(BN57:BV57)</f>
        <v>0</v>
      </c>
      <c r="BN57" s="1239"/>
      <c r="BO57" s="1239"/>
      <c r="BP57" s="1239"/>
      <c r="BQ57" s="1239"/>
      <c r="BR57" s="1239"/>
      <c r="BS57" s="1239"/>
      <c r="BT57" s="1239"/>
      <c r="BU57" s="1239"/>
      <c r="BV57" s="2443"/>
      <c r="BW57" s="1240">
        <f>SUM(BX57:CG57)</f>
        <v>0</v>
      </c>
      <c r="BX57" s="1239"/>
      <c r="BY57" s="1239"/>
      <c r="BZ57" s="1239"/>
      <c r="CA57" s="1239"/>
      <c r="CB57" s="1239"/>
      <c r="CC57" s="1239"/>
      <c r="CD57" s="1239"/>
      <c r="CE57" s="1239"/>
      <c r="CF57" s="1239"/>
      <c r="CG57" s="2443"/>
      <c r="CH57" s="1240">
        <f>SUM(CI57:CQ57)</f>
        <v>0</v>
      </c>
      <c r="CI57" s="1239"/>
      <c r="CJ57" s="1239"/>
      <c r="CK57" s="1239"/>
      <c r="CL57" s="1239"/>
      <c r="CM57" s="1239"/>
      <c r="CN57" s="1239"/>
      <c r="CO57" s="1239"/>
      <c r="CP57" s="1239"/>
      <c r="CQ57" s="2443"/>
      <c r="CR57" s="1240">
        <f>SUM(CS57:CV57)</f>
        <v>0</v>
      </c>
      <c r="CS57" s="1239"/>
      <c r="CT57" s="1239"/>
      <c r="CU57" s="1239"/>
      <c r="CV57" s="2443"/>
      <c r="CW57" s="1240">
        <f>SUM(CX57:DE57)</f>
        <v>0</v>
      </c>
      <c r="CX57" s="1239"/>
      <c r="CY57" s="1239"/>
      <c r="CZ57" s="1239"/>
      <c r="DA57" s="1239"/>
      <c r="DB57" s="1239"/>
      <c r="DC57" s="1239"/>
      <c r="DD57" s="1239"/>
      <c r="DE57" s="2443"/>
      <c r="DF57" s="1238"/>
      <c r="DR57" s="1159">
        <v>11</v>
      </c>
    </row>
    <row customHeight="1" ht="11.549999999999999">
      <c r="F58" s="1234"/>
      <c r="G58" s="1243" t="s">
        <v>1384</v>
      </c>
      <c r="H58" s="1240">
        <f>SUM(I58:J58)</f>
        <v>0</v>
      </c>
      <c r="I58" s="1240">
        <f>SUM(I38,I48)</f>
        <v>0</v>
      </c>
      <c r="J58" s="1229"/>
      <c r="K58" s="1240">
        <f>SUM(L58:S58)</f>
        <v>0</v>
      </c>
      <c r="L58" s="1240">
        <f>SUM(L38,L48)</f>
        <v>0</v>
      </c>
      <c r="M58" s="1240">
        <f>SUM(M38,M48)</f>
        <v>0</v>
      </c>
      <c r="N58" s="1240">
        <f>SUM(N38,N48)</f>
        <v>0</v>
      </c>
      <c r="O58" s="1240">
        <f>SUM(O38,O48)</f>
        <v>0</v>
      </c>
      <c r="P58" s="1240">
        <f>SUM(P38,P48)</f>
        <v>0</v>
      </c>
      <c r="Q58" s="1240">
        <f>SUM(Q38,Q48)</f>
        <v>0</v>
      </c>
      <c r="R58" s="1240">
        <f>SUM(R38,R48)</f>
        <v>0</v>
      </c>
      <c r="S58" s="2443"/>
      <c r="T58" s="1240">
        <f>SUM(U58:AE58)</f>
        <v>0</v>
      </c>
      <c r="U58" s="1240">
        <f>SUM(U38,U48)</f>
        <v>0</v>
      </c>
      <c r="V58" s="1240">
        <f>SUM(V38,V48)</f>
        <v>0</v>
      </c>
      <c r="W58" s="1240">
        <f>SUM(W38,W48)</f>
        <v>0</v>
      </c>
      <c r="X58" s="1240">
        <f>SUM(X38,X48)</f>
        <v>0</v>
      </c>
      <c r="Y58" s="1240">
        <f>SUM(Y38,Y48)</f>
        <v>0</v>
      </c>
      <c r="Z58" s="1240">
        <f>SUM(Z38,Z48)</f>
        <v>0</v>
      </c>
      <c r="AA58" s="1240">
        <f>SUM(AA38,AA48)</f>
        <v>0</v>
      </c>
      <c r="AB58" s="1240">
        <f>SUM(AB38,AB48)</f>
        <v>0</v>
      </c>
      <c r="AC58" s="1240">
        <f>SUM(AC38,AC48)</f>
        <v>0</v>
      </c>
      <c r="AD58" s="1240">
        <f>SUM(AD38,AD48)</f>
        <v>0</v>
      </c>
      <c r="AE58" s="2443"/>
      <c r="AF58" s="1240">
        <f>SUM(AG58:AR58)</f>
        <v>0</v>
      </c>
      <c r="AG58" s="1240">
        <f>SUM(AG38,AG48)</f>
        <v>0</v>
      </c>
      <c r="AH58" s="1240">
        <f>SUM(AH38,AH48)</f>
        <v>0</v>
      </c>
      <c r="AI58" s="1240">
        <f>SUM(AI38,AI48)</f>
        <v>0</v>
      </c>
      <c r="AJ58" s="1240">
        <f>SUM(AJ38,AJ48)</f>
        <v>0</v>
      </c>
      <c r="AK58" s="1240">
        <f>SUM(AK38,AK48)</f>
        <v>0</v>
      </c>
      <c r="AL58" s="1240">
        <f>SUM(AL38,AL48)</f>
        <v>0</v>
      </c>
      <c r="AM58" s="1240">
        <f>SUM(AM38,AM48)</f>
        <v>0</v>
      </c>
      <c r="AN58" s="1240">
        <f>SUM(AN38,AN48)</f>
        <v>0</v>
      </c>
      <c r="AO58" s="1240">
        <f>SUM(AO38,AO48)</f>
        <v>0</v>
      </c>
      <c r="AP58" s="1240">
        <f>SUM(AP38,AP48)</f>
        <v>0</v>
      </c>
      <c r="AQ58" s="1240">
        <f>SUM(AQ38,AQ48)</f>
        <v>0</v>
      </c>
      <c r="AR58" s="2443"/>
      <c r="AS58" s="1240">
        <f>SUM(AT58:BB58)</f>
        <v>0</v>
      </c>
      <c r="AT58" s="1240">
        <f>SUM(AT38,AT48)</f>
        <v>0</v>
      </c>
      <c r="AU58" s="1240">
        <f>SUM(AU38,AU48)</f>
        <v>0</v>
      </c>
      <c r="AV58" s="1240">
        <f>SUM(AV38,AV48)</f>
        <v>0</v>
      </c>
      <c r="AW58" s="1240">
        <f>SUM(AW38,AW48)</f>
        <v>0</v>
      </c>
      <c r="AX58" s="1240">
        <f>SUM(AX38,AX48)</f>
        <v>0</v>
      </c>
      <c r="AY58" s="1240">
        <f>SUM(AY38,AY48)</f>
        <v>0</v>
      </c>
      <c r="AZ58" s="1240">
        <f>SUM(AZ38,AZ48)</f>
        <v>0</v>
      </c>
      <c r="BA58" s="1240">
        <f>SUM(BA38,BA48)</f>
        <v>0</v>
      </c>
      <c r="BB58" s="2443"/>
      <c r="BC58" s="1240">
        <f>SUM(BD58:BL58)</f>
        <v>0</v>
      </c>
      <c r="BD58" s="1240">
        <f>SUM(BD38,BD48)</f>
        <v>0</v>
      </c>
      <c r="BE58" s="1240">
        <f>SUM(BE38,BE48)</f>
        <v>0</v>
      </c>
      <c r="BF58" s="1240">
        <f>SUM(BF38,BF48)</f>
        <v>0</v>
      </c>
      <c r="BG58" s="1240">
        <f>SUM(BG38,BG48)</f>
        <v>0</v>
      </c>
      <c r="BH58" s="1240">
        <f>SUM(BH38,BH48)</f>
        <v>0</v>
      </c>
      <c r="BI58" s="1240">
        <f>SUM(BI38,BI48)</f>
        <v>0</v>
      </c>
      <c r="BJ58" s="1240">
        <f>SUM(BJ38,BJ48)</f>
        <v>0</v>
      </c>
      <c r="BK58" s="1240">
        <f>SUM(BK38,BK48)</f>
        <v>0</v>
      </c>
      <c r="BL58" s="2443"/>
      <c r="BM58" s="1240">
        <f>SUM(BN58:BV58)</f>
        <v>0</v>
      </c>
      <c r="BN58" s="1240">
        <f>SUM(BN38,BN48)</f>
        <v>0</v>
      </c>
      <c r="BO58" s="1240">
        <f>SUM(BO38,BO48)</f>
        <v>0</v>
      </c>
      <c r="BP58" s="1240">
        <f>SUM(BP38,BP48)</f>
        <v>0</v>
      </c>
      <c r="BQ58" s="1240">
        <f>SUM(BQ38,BQ48)</f>
        <v>0</v>
      </c>
      <c r="BR58" s="1240">
        <f>SUM(BR38,BR48)</f>
        <v>0</v>
      </c>
      <c r="BS58" s="1240">
        <f>SUM(BS38,BS48)</f>
        <v>0</v>
      </c>
      <c r="BT58" s="1240">
        <f>SUM(BT38,BT48)</f>
        <v>0</v>
      </c>
      <c r="BU58" s="1240">
        <f>SUM(BU38,BU48)</f>
        <v>0</v>
      </c>
      <c r="BV58" s="2443"/>
      <c r="BW58" s="1240">
        <f>SUM(BX58:CG58)</f>
        <v>0</v>
      </c>
      <c r="BX58" s="1240">
        <f>SUM(BX38,BX48)</f>
        <v>0</v>
      </c>
      <c r="BY58" s="1240">
        <f>SUM(BY38,BY48)</f>
        <v>0</v>
      </c>
      <c r="BZ58" s="1240">
        <f>SUM(BZ38,BZ48)</f>
        <v>0</v>
      </c>
      <c r="CA58" s="1240">
        <f>SUM(CA38,CA48)</f>
        <v>0</v>
      </c>
      <c r="CB58" s="1240">
        <f>SUM(CB38,CB48)</f>
        <v>0</v>
      </c>
      <c r="CC58" s="1240">
        <f>SUM(CC38,CC48)</f>
        <v>0</v>
      </c>
      <c r="CD58" s="1240">
        <f>SUM(CD38,CD48)</f>
        <v>0</v>
      </c>
      <c r="CE58" s="1240">
        <f>SUM(CE38,CE48)</f>
        <v>0</v>
      </c>
      <c r="CF58" s="1240">
        <f>SUM(CF38,CF48)</f>
        <v>0</v>
      </c>
      <c r="CG58" s="2443"/>
      <c r="CH58" s="1240">
        <f>SUM(CI58:CQ58)</f>
        <v>0</v>
      </c>
      <c r="CI58" s="1240">
        <f>SUM(CI38,CI48)</f>
        <v>0</v>
      </c>
      <c r="CJ58" s="1240">
        <f>SUM(CJ38,CJ48)</f>
        <v>0</v>
      </c>
      <c r="CK58" s="1240">
        <f>SUM(CK38,CK48)</f>
        <v>0</v>
      </c>
      <c r="CL58" s="1240">
        <f>SUM(CL38,CL48)</f>
        <v>0</v>
      </c>
      <c r="CM58" s="1240">
        <f>SUM(CM38,CM48)</f>
        <v>0</v>
      </c>
      <c r="CN58" s="1240">
        <f>SUM(CN38,CN48)</f>
        <v>0</v>
      </c>
      <c r="CO58" s="1240">
        <f>SUM(CO38,CO48)</f>
        <v>0</v>
      </c>
      <c r="CP58" s="1240">
        <f>SUM(CP38,CP48)</f>
        <v>0</v>
      </c>
      <c r="CQ58" s="2443"/>
      <c r="CR58" s="1240">
        <f>SUM(CS58:CV58)</f>
        <v>0</v>
      </c>
      <c r="CS58" s="1240">
        <f>SUM(CS38,CS48)</f>
        <v>0</v>
      </c>
      <c r="CT58" s="1240">
        <f>SUM(CT38,CT48)</f>
        <v>0</v>
      </c>
      <c r="CU58" s="1240">
        <f>SUM(CU38,CU48)</f>
        <v>0</v>
      </c>
      <c r="CV58" s="2443"/>
      <c r="CW58" s="1240">
        <f>SUM(CX58:DE58)</f>
        <v>0</v>
      </c>
      <c r="CX58" s="1240">
        <f>SUM(CX38,CX48)</f>
        <v>0</v>
      </c>
      <c r="CY58" s="1240">
        <f>SUM(CY38,CY48)</f>
        <v>0</v>
      </c>
      <c r="CZ58" s="1240">
        <f>SUM(CZ38,CZ48)</f>
        <v>0</v>
      </c>
      <c r="DA58" s="1240">
        <f>SUM(DA38,DA48)</f>
        <v>0</v>
      </c>
      <c r="DB58" s="1240">
        <f>SUM(DB38,DB48)</f>
        <v>0</v>
      </c>
      <c r="DC58" s="1240">
        <f>SUM(DC38,DC48)</f>
        <v>0</v>
      </c>
      <c r="DD58" s="1240">
        <f>SUM(DD38,DD48)</f>
        <v>0</v>
      </c>
      <c r="DE58" s="2443"/>
      <c r="DF58" s="1238"/>
      <c r="DR58" s="1159">
        <v>11</v>
      </c>
    </row>
    <row customHeight="1" ht="10.5" hidden="1">
      <c r="A59" s="1170" t="s">
        <v>81</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639">
        <v>0</v>
      </c>
      <c r="S59" s="1639">
        <v>0</v>
      </c>
      <c r="T59" s="1639">
        <v>0</v>
      </c>
      <c r="U59" s="1639">
        <v>0</v>
      </c>
      <c r="V59" s="1639">
        <v>0</v>
      </c>
      <c r="W59" s="1639">
        <v>0</v>
      </c>
      <c r="X59" s="1639">
        <v>0</v>
      </c>
      <c r="Y59" s="1639">
        <v>0</v>
      </c>
      <c r="Z59" s="1639">
        <v>0</v>
      </c>
      <c r="AA59" s="1639">
        <v>0</v>
      </c>
      <c r="AB59" s="1639">
        <v>0</v>
      </c>
      <c r="AC59" s="1639">
        <v>0</v>
      </c>
      <c r="AD59" s="1639">
        <v>0</v>
      </c>
      <c r="AE59" s="1639">
        <v>0</v>
      </c>
      <c r="AF59" s="1639">
        <v>0</v>
      </c>
      <c r="AG59" s="1639">
        <v>0</v>
      </c>
      <c r="AH59" s="1639">
        <v>0</v>
      </c>
      <c r="AI59" s="1639">
        <v>0</v>
      </c>
      <c r="AJ59" s="1639">
        <v>0</v>
      </c>
      <c r="AK59" s="1639">
        <v>0</v>
      </c>
      <c r="AL59" s="1639">
        <v>0</v>
      </c>
      <c r="AM59" s="1639">
        <v>0</v>
      </c>
      <c r="AN59" s="1639">
        <v>0</v>
      </c>
      <c r="AO59" s="1639">
        <v>0</v>
      </c>
      <c r="AP59" s="1639">
        <v>0</v>
      </c>
      <c r="AQ59" s="1639">
        <v>0</v>
      </c>
      <c r="AR59" s="1639">
        <v>0</v>
      </c>
      <c r="AS59" s="1639">
        <v>0</v>
      </c>
      <c r="AT59" s="1639">
        <v>0</v>
      </c>
      <c r="AU59" s="1639">
        <v>0</v>
      </c>
      <c r="AV59" s="1639">
        <v>0</v>
      </c>
      <c r="AW59" s="1639">
        <v>0</v>
      </c>
      <c r="AX59" s="1639">
        <v>0</v>
      </c>
      <c r="AY59" s="1639">
        <v>0</v>
      </c>
      <c r="AZ59" s="1639">
        <v>0</v>
      </c>
      <c r="BA59" s="1639">
        <v>0</v>
      </c>
      <c r="BB59" s="1639">
        <v>0</v>
      </c>
      <c r="BC59" s="1639">
        <v>0</v>
      </c>
      <c r="BD59" s="1639">
        <v>0</v>
      </c>
      <c r="BE59" s="1639">
        <v>0</v>
      </c>
      <c r="BF59" s="1639">
        <v>0</v>
      </c>
      <c r="BG59" s="1639">
        <v>0</v>
      </c>
      <c r="BH59" s="1639">
        <v>0</v>
      </c>
      <c r="BI59" s="1639">
        <v>0</v>
      </c>
      <c r="BJ59" s="1639">
        <v>0</v>
      </c>
      <c r="BK59" s="1639">
        <v>0</v>
      </c>
      <c r="BL59" s="1639">
        <v>0</v>
      </c>
      <c r="BM59" s="1639">
        <v>0</v>
      </c>
      <c r="BN59" s="1639">
        <v>0</v>
      </c>
      <c r="BO59" s="1639">
        <v>0</v>
      </c>
      <c r="BP59" s="1639">
        <v>0</v>
      </c>
      <c r="BQ59" s="1639">
        <v>0</v>
      </c>
      <c r="BR59" s="1639">
        <v>0</v>
      </c>
      <c r="BS59" s="1639">
        <v>0</v>
      </c>
      <c r="BT59" s="1639">
        <v>0</v>
      </c>
      <c r="BU59" s="1639">
        <v>0</v>
      </c>
      <c r="BV59" s="1639">
        <v>0</v>
      </c>
      <c r="BW59" s="1639">
        <v>0</v>
      </c>
      <c r="BX59" s="1639">
        <v>0</v>
      </c>
      <c r="BY59" s="1639">
        <v>0</v>
      </c>
      <c r="BZ59" s="1639">
        <v>0</v>
      </c>
      <c r="CA59" s="1639">
        <v>0</v>
      </c>
      <c r="CB59" s="1639">
        <v>0</v>
      </c>
      <c r="CC59" s="1639">
        <v>0</v>
      </c>
      <c r="CD59" s="1639">
        <v>0</v>
      </c>
      <c r="CE59" s="1639">
        <v>0</v>
      </c>
      <c r="CF59" s="1639">
        <v>0</v>
      </c>
      <c r="CG59" s="1639">
        <v>0</v>
      </c>
      <c r="CH59" s="1639">
        <v>0</v>
      </c>
      <c r="CI59" s="1639">
        <v>0</v>
      </c>
      <c r="CJ59" s="1639">
        <v>0</v>
      </c>
      <c r="CK59" s="1639">
        <v>0</v>
      </c>
      <c r="CL59" s="1639">
        <v>0</v>
      </c>
      <c r="CM59" s="1639">
        <v>0</v>
      </c>
      <c r="CN59" s="1639">
        <v>0</v>
      </c>
      <c r="CO59" s="1639">
        <v>0</v>
      </c>
      <c r="CP59" s="1639">
        <v>0</v>
      </c>
      <c r="CQ59" s="1639">
        <v>0</v>
      </c>
      <c r="CR59" s="1639">
        <v>0</v>
      </c>
      <c r="CS59" s="1639">
        <v>0</v>
      </c>
      <c r="CT59" s="1639">
        <v>0</v>
      </c>
      <c r="CU59" s="1639">
        <v>0</v>
      </c>
      <c r="CV59" s="1639">
        <v>0</v>
      </c>
      <c r="CW59" s="1639">
        <v>0</v>
      </c>
      <c r="CX59" s="1639">
        <v>0</v>
      </c>
      <c r="CY59" s="1639">
        <v>0</v>
      </c>
      <c r="CZ59" s="1639">
        <v>0</v>
      </c>
      <c r="DA59" s="1639">
        <v>0</v>
      </c>
      <c r="DB59" s="1639">
        <v>0</v>
      </c>
      <c r="DC59" s="1639">
        <v>0</v>
      </c>
      <c r="DD59" s="1639">
        <v>0</v>
      </c>
      <c r="DE59" s="1639">
        <v>0</v>
      </c>
      <c r="DF59" s="1159">
        <v>1</v>
      </c>
      <c r="DG59" s="1159">
        <v>8</v>
      </c>
      <c r="DH59" s="1159">
        <v>8</v>
      </c>
      <c r="DI59" s="1159">
        <v>8</v>
      </c>
      <c r="DJ59" s="1159">
        <v>8</v>
      </c>
      <c r="DK59" s="1159">
        <v>8</v>
      </c>
      <c r="DL59" s="1159">
        <v>8</v>
      </c>
      <c r="DM59" s="1159">
        <v>8</v>
      </c>
      <c r="DN59" s="1159">
        <v>8</v>
      </c>
      <c r="DO59" s="1159">
        <v>8</v>
      </c>
      <c r="DP59" s="1159">
        <v>8</v>
      </c>
      <c r="DQ59" s="1159">
        <v>8</v>
      </c>
      <c r="DR59" s="1159">
        <v>10</v>
      </c>
    </row>
  </sheetData>
  <sheetProtection formatColumns="0" formatRows="0" autoFilter="0" sort="0" insertRows="0" insertColumns="1" deleteRows="0" deleteColumns="0"/>
  <mergeCells count="29">
    <mergeCell ref="F5:J5"/>
    <mergeCell ref="F6:J6"/>
    <mergeCell ref="F9:J9"/>
    <mergeCell ref="G14:J14"/>
    <mergeCell ref="G37:J37"/>
    <mergeCell ref="F10:F12"/>
    <mergeCell ref="H10:J10"/>
    <mergeCell ref="H11:J11"/>
    <mergeCell ref="G10:G12"/>
    <mergeCell ref="K10:S10"/>
    <mergeCell ref="K11:S11"/>
    <mergeCell ref="T10:AE10"/>
    <mergeCell ref="T11:AE11"/>
    <mergeCell ref="AF10:AR10"/>
    <mergeCell ref="AF11:AR11"/>
    <mergeCell ref="AS10:BB10"/>
    <mergeCell ref="AS11:BB11"/>
    <mergeCell ref="BC10:BL10"/>
    <mergeCell ref="BC11:BL11"/>
    <mergeCell ref="BM10:BV10"/>
    <mergeCell ref="BM11:BV11"/>
    <mergeCell ref="BW10:CG10"/>
    <mergeCell ref="BW11:CG11"/>
    <mergeCell ref="CH10:CQ10"/>
    <mergeCell ref="CH11:CQ11"/>
    <mergeCell ref="CR10:CV10"/>
    <mergeCell ref="CR11:CV11"/>
    <mergeCell ref="CW10:DE10"/>
    <mergeCell ref="CW11:DE11"/>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AD16 U17:AD17 U18:AD18 U19:AD19 U20:AD20 U21:AD21 U22:AD22 U23:AD23 U24:AD24 U25:AD25 U26:AD26 U27:AD27 U29:AD29 U30:AD30 U31:AD31 U33:AD33 U34:AD34 U35:AD35 U40:AD40 U41:AD41 U42:AD42 U43:AD43 U45:AD45 U46:AD46 U47:AD47 U50:AD50 U51:AD51 U52:AD52 U53:AD53 U55:AD55 U56:AD56 U57:AD57 AG16:AQ16 AG17:AQ17 AG18:AQ18 AG19:AQ19 AG20:AQ20 AG21:AQ21 AG22:AQ22 AG23:AQ23 AG24:AQ24 AG25:AQ25 AG26:AQ26 AG27:AQ27 AG29:AQ29 AG30:AQ30 AG31:AQ31 AG33:AQ33 AG34:AQ34 AG35:AQ35 AG40:AQ40 AG41:AQ41 AG42:AQ42 AG43:AQ43 AG45:AQ45 AG46:AQ46 AG47:AQ47 AG50:AQ50 AG51:AQ51 AG52:AQ52 AG53:AQ53 AG55:AQ55 AG56:AQ56 AG57:AQ57 AT16:BA16 AT17:BA17 AT18:BA18 AT19:BA19 AT20:BA20 AT21:BA21 AT22:BA22 AT23:BA23 AT24:BA24 AT25:BA25 AT26:BA26 AT27:BA27 AT29:BA29 AT30:BA30 AT31:BA31 AT33:BA33 AT34:BA34 AT35:BA35 AT40:BA40 AT41:BA41 AT42:BA42 AT43:BA43 AT45:BA45 AT46:BA46 AT47:BA47 AT50:BA50 AT51:BA51 AT52:BA52 AT53:BA53 AT55:BA55 AT56:BA56 AT57:BA57 BD16:BK16 BD17:BK17 BD18:BK18 BD19:BK19 BD20:BK20 BD21:BK21 BD22:BK22 BD23:BK23 BD24:BK24 BD25:BK25 BD26:BK26 BD27:BK27 BD29:BK29 BD30:BK30 BD31:BK31 BD33:BK33 BD34:BK34 BD35:BK35 BD40:BK40 BD41:BK41 BD42:BK42 BD43:BK43 BD45:BK45 BD46:BK46 BD47:BK47 BD50:BK50 BD51:BK51 BD52:BK52 BD53:BK53 BD55:BK55 BD56:BK56 BD57:BK57 BN16:BU16 BN17:BU17 BN18:BU18 BN19:BU19 BN20:BU20 BN21:BU21 BN22:BU22 BN23:BU23 BN24:BU24 BN25:BU25 BN26:BU26 BN27:BU27 BN29:BU29 BN30:BU30 BN31:BU31 BN33:BU33 BN34:BU34 BN35:BU35 BN40:BU40 BN41:BU41 BN42:BU42 BN43:BU43 BN45:BU45 BN46:BU46 BN47:BU47 BN50:BU50 BN51:BU51 BN52:BU52 BN53:BU53 BN55:BU55 BN56:BU56 BN57:BU57 BX16:CF16 BX17:CF17 BX18:CF18 BX19:CF19 BX20:CF20 BX21:CF21 BX22:CF22 BX23:CF23 BX24:CF24 BX25:CF25 BX26:CF26 BX27:CF27 BX29:CF29 BX30:CF30 BX31:CF31 BX33:CF33 BX34:CF34 BX35:CF35 BX40:CF40 BX41:CF41 BX42:CF42 BX43:CF43 BX45:CF45 BX46:CF46 BX47:CF47 BX50:CF50 BX51:CF51 BX52:CF52 BX53:CF53 BX55:CF55 BX56:CF56 BX57:CF57 CI16:CP16 CI17:CP17 CI18:CP18 CI19:CP19 CI20:CP20 CI21:CP21 CI22:CP22 CI23:CP23 CI24:CP24 CI25:CP25 CI26:CP26 CI27:CP27 CI29:CP29 CI30:CP30 CI31:CP31 CI33:CP33 CI34:CP34 CI35:CP35 CI40:CP40 CI41:CP41 CI42:CP42 CI43:CP43 CI45:CP45 CI46:CP46 CI47:CP47 CI50:CP50 CI51:CP51 CI52:CP52 CI53:CP53 CI55:CP55 CI56:CP56 CI57:CP57 CS16:CU16 CS17:CU17 CS18:CU18 CS19:CU19 CS20:CU20 CS21:CU21 CS22:CU22 CS23:CU23 CS24:CU24 CS25:CU25 CS26:CU26 CS27:CU27 CS29:CU29 CS30:CU30 CS31:CU31 CS33:CU33 CS34:CU34 CS35:CU35 CS40:CU40 CS41:CU41 CS42:CU42 CS43:CU43 CS45:CU45 CS46:CU46 CS47:CU47 CS50:CU50 CS51:CU51 CS52:CU52 CS53:CU53 CS55:CU55 CS56:CU56 CS57:CU57 CX16:DD16 CX17:DD17 CX18:DD18 CX19:DD19 CX20:DD20 CX21:DD21 CX22:DD22 CX23:DD23 CX24:DD24 CX25:DD25 CX26:DD26 CX27:DD27 CX29:DD29 CX30:DD30 CX31:DD31 CX33:DD33 CX34:DD34 CX35:DD35 CX40:DD40 CX41:DD41 CX42:DD42 CX43:DD43 CX45:DD45 CX46:DD46 CX47:DD47 CX50:DD50 CX51:DD51 CX52:DD52 CX53:DD53 CX55:DD55 CX56:DD56 CX57:DD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B89F8-C1D8-F618-8B37-4A8795C5C138}" mc:Ignorable="x14ac xr xr2 xr3">
  <sheetPr>
    <tabColor theme="9" tint="-0.25"/>
  </sheetPr>
  <dimension ref="A1:GC55"/>
  <sheetViews>
    <sheetView showGridLines="0" zoomScale="90" workbookViewId="0">
      <pane xSplit="14" ySplit="17" topLeftCell="BT42" activePane="bottomRight" state="frozen"/>
      <selection pane="bottomLeft" activeCell="A18" sqref="A18"/>
      <selection pane="topRight" activeCell="O1" sqref="O1"/>
      <selection pane="bottomRight" activeCell="BU54" sqref="BU54"/>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КГУП "Примтеплоэнерго"</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1402</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1403</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438</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1404</v>
      </c>
      <c r="H11" s="2454" t="s">
        <v>1405</v>
      </c>
      <c r="I11" s="2454" t="s">
        <v>1406</v>
      </c>
      <c r="J11" s="2455"/>
      <c r="K11" s="2455"/>
      <c r="L11" s="2455"/>
      <c r="M11" s="2455"/>
      <c r="N11" s="2455"/>
      <c r="O11" s="2226" t="s">
        <v>1407</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1407</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1407</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1408</v>
      </c>
      <c r="P12" s="2226"/>
      <c r="Q12" s="2226"/>
      <c r="R12" s="2226"/>
      <c r="S12" s="2226" t="s">
        <v>1409</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1410</v>
      </c>
      <c r="BU12" s="2404"/>
      <c r="BV12" s="2404"/>
      <c r="BW12" s="2450"/>
      <c r="BX12" s="2403" t="s">
        <v>1411</v>
      </c>
      <c r="BY12" s="2404"/>
      <c r="BZ12" s="2404"/>
      <c r="CA12" s="2450"/>
      <c r="CB12" s="2403" t="s">
        <v>1412</v>
      </c>
      <c r="CC12" s="2450"/>
      <c r="CD12" s="2403" t="s">
        <v>1413</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1414</v>
      </c>
      <c r="CZ12" s="2404"/>
      <c r="DA12" s="2404"/>
      <c r="DB12" s="2404"/>
      <c r="DC12" s="2404"/>
      <c r="DD12" s="2450"/>
      <c r="DE12" s="2403" t="s">
        <v>1415</v>
      </c>
      <c r="DF12" s="2450"/>
      <c r="DG12" s="2403" t="s">
        <v>1413</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1416</v>
      </c>
      <c r="P13" s="2226"/>
      <c r="Q13" s="2226"/>
      <c r="R13" s="2226"/>
      <c r="S13" s="2353" t="s">
        <v>1417</v>
      </c>
      <c r="T13" s="2405"/>
      <c r="U13" s="2144" t="s">
        <v>1418</v>
      </c>
      <c r="V13" s="2144"/>
      <c r="W13" s="2144"/>
      <c r="X13" s="2144"/>
      <c r="Y13" s="2144" t="s">
        <v>1419</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1420</v>
      </c>
      <c r="BU13" s="2405"/>
      <c r="BV13" s="2353" t="s">
        <v>1421</v>
      </c>
      <c r="BW13" s="2405"/>
      <c r="BX13" s="2353" t="s">
        <v>1422</v>
      </c>
      <c r="BY13" s="2405"/>
      <c r="BZ13" s="2353" t="s">
        <v>1423</v>
      </c>
      <c r="CA13" s="2405"/>
      <c r="CB13" s="2353" t="s">
        <v>1424</v>
      </c>
      <c r="CC13" s="2405"/>
      <c r="CD13" s="2353" t="s">
        <v>1425</v>
      </c>
      <c r="CE13" s="2405"/>
      <c r="CF13" s="2353" t="s">
        <v>1426</v>
      </c>
      <c r="CG13" s="2405"/>
      <c r="CH13" s="2403" t="s">
        <v>1427</v>
      </c>
      <c r="CI13" s="2404"/>
      <c r="CJ13" s="2404"/>
      <c r="CK13" s="2450"/>
      <c r="CL13" s="2453"/>
      <c r="CM13" s="2451"/>
      <c r="CN13" s="2451"/>
      <c r="CO13" s="2451"/>
      <c r="CP13" s="2451"/>
      <c r="CQ13" s="2451"/>
      <c r="CR13" s="2451"/>
      <c r="CS13" s="2451"/>
      <c r="CT13" s="2451"/>
      <c r="CU13" s="2451"/>
      <c r="CV13" s="2451"/>
      <c r="CW13" s="2451"/>
      <c r="CX13" s="2470"/>
      <c r="CY13" s="2353" t="s">
        <v>1428</v>
      </c>
      <c r="CZ13" s="2405"/>
      <c r="DA13" s="2353" t="s">
        <v>1429</v>
      </c>
      <c r="DB13" s="2405"/>
      <c r="DC13" s="2353" t="s">
        <v>1430</v>
      </c>
      <c r="DD13" s="2405"/>
      <c r="DE13" s="2353" t="s">
        <v>1431</v>
      </c>
      <c r="DF13" s="2405"/>
      <c r="DG13" s="2403" t="s">
        <v>1432</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1433</v>
      </c>
      <c r="P14" s="2405"/>
      <c r="Q14" s="2353" t="s">
        <v>1434</v>
      </c>
      <c r="R14" s="2405"/>
      <c r="S14" s="2354"/>
      <c r="T14" s="2230"/>
      <c r="U14" s="2353" t="s">
        <v>1036</v>
      </c>
      <c r="V14" s="2405"/>
      <c r="W14" s="2353" t="s">
        <v>1039</v>
      </c>
      <c r="X14" s="2405"/>
      <c r="Y14" s="2353" t="s">
        <v>1036</v>
      </c>
      <c r="Z14" s="2405"/>
      <c r="AA14" s="2353" t="s">
        <v>1046</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1435</v>
      </c>
      <c r="CI14" s="2405"/>
      <c r="CJ14" s="2353" t="s">
        <v>1436</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1437</v>
      </c>
      <c r="DH14" s="2405"/>
      <c r="DI14" s="2353" t="s">
        <v>1438</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1026</v>
      </c>
      <c r="P16" s="2450"/>
      <c r="Q16" s="2403" t="s">
        <v>1028</v>
      </c>
      <c r="R16" s="2450"/>
      <c r="S16" s="2403" t="s">
        <v>1032</v>
      </c>
      <c r="T16" s="2450"/>
      <c r="U16" s="2403" t="s">
        <v>1037</v>
      </c>
      <c r="V16" s="2450"/>
      <c r="W16" s="2403" t="s">
        <v>1040</v>
      </c>
      <c r="X16" s="2450"/>
      <c r="Y16" s="2403" t="s">
        <v>1044</v>
      </c>
      <c r="Z16" s="2450"/>
      <c r="AA16" s="2403" t="s">
        <v>1047</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696</v>
      </c>
      <c r="BU16" s="2450"/>
      <c r="BV16" s="2403" t="s">
        <v>696</v>
      </c>
      <c r="BW16" s="2450"/>
      <c r="BX16" s="2403" t="s">
        <v>696</v>
      </c>
      <c r="BY16" s="2450"/>
      <c r="BZ16" s="2403" t="s">
        <v>696</v>
      </c>
      <c r="CA16" s="2450"/>
      <c r="CB16" s="2403" t="s">
        <v>1439</v>
      </c>
      <c r="CC16" s="2450"/>
      <c r="CD16" s="2403" t="s">
        <v>696</v>
      </c>
      <c r="CE16" s="2450"/>
      <c r="CF16" s="2403" t="s">
        <v>1440</v>
      </c>
      <c r="CG16" s="2450"/>
      <c r="CH16" s="2403" t="s">
        <v>1441</v>
      </c>
      <c r="CI16" s="2450"/>
      <c r="CJ16" s="2403" t="s">
        <v>1441</v>
      </c>
      <c r="CK16" s="2450"/>
      <c r="CL16" s="2453"/>
      <c r="CM16" s="2451"/>
      <c r="CN16" s="2451"/>
      <c r="CO16" s="2451"/>
      <c r="CP16" s="2451"/>
      <c r="CQ16" s="2451"/>
      <c r="CR16" s="2451"/>
      <c r="CS16" s="2451"/>
      <c r="CT16" s="2451"/>
      <c r="CU16" s="2451"/>
      <c r="CV16" s="2451"/>
      <c r="CW16" s="2451"/>
      <c r="CX16" s="2470"/>
      <c r="CY16" s="2353" t="s">
        <v>696</v>
      </c>
      <c r="CZ16" s="2405"/>
      <c r="DA16" s="2353" t="s">
        <v>696</v>
      </c>
      <c r="DB16" s="2405"/>
      <c r="DC16" s="2353" t="s">
        <v>696</v>
      </c>
      <c r="DD16" s="2405"/>
      <c r="DE16" s="2403" t="s">
        <v>1439</v>
      </c>
      <c r="DF16" s="2450"/>
      <c r="DG16" s="2403" t="s">
        <v>1442</v>
      </c>
      <c r="DH16" s="2450"/>
      <c r="DI16" s="2403" t="s">
        <v>1442</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1443</v>
      </c>
      <c r="P17" s="1195" t="s">
        <v>1444</v>
      </c>
      <c r="Q17" s="1195" t="s">
        <v>1443</v>
      </c>
      <c r="R17" s="1195" t="s">
        <v>1444</v>
      </c>
      <c r="S17" s="1195" t="s">
        <v>1443</v>
      </c>
      <c r="T17" s="1195" t="s">
        <v>1444</v>
      </c>
      <c r="U17" s="1195" t="s">
        <v>1443</v>
      </c>
      <c r="V17" s="1195" t="s">
        <v>1444</v>
      </c>
      <c r="W17" s="1195" t="s">
        <v>1443</v>
      </c>
      <c r="X17" s="1195" t="s">
        <v>1444</v>
      </c>
      <c r="Y17" s="1195" t="s">
        <v>1443</v>
      </c>
      <c r="Z17" s="1195" t="s">
        <v>1444</v>
      </c>
      <c r="AA17" s="1195" t="s">
        <v>1443</v>
      </c>
      <c r="AB17" s="1195" t="s">
        <v>1444</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1443</v>
      </c>
      <c r="BU17" s="1195" t="s">
        <v>1444</v>
      </c>
      <c r="BV17" s="1195" t="s">
        <v>1443</v>
      </c>
      <c r="BW17" s="1195" t="s">
        <v>1444</v>
      </c>
      <c r="BX17" s="1195" t="s">
        <v>1443</v>
      </c>
      <c r="BY17" s="1195" t="s">
        <v>1444</v>
      </c>
      <c r="BZ17" s="1195" t="s">
        <v>1443</v>
      </c>
      <c r="CA17" s="1195" t="s">
        <v>1444</v>
      </c>
      <c r="CB17" s="1195" t="s">
        <v>1443</v>
      </c>
      <c r="CC17" s="1195" t="s">
        <v>1444</v>
      </c>
      <c r="CD17" s="1195" t="s">
        <v>1443</v>
      </c>
      <c r="CE17" s="1195" t="s">
        <v>1444</v>
      </c>
      <c r="CF17" s="1195" t="s">
        <v>1443</v>
      </c>
      <c r="CG17" s="1195" t="s">
        <v>1444</v>
      </c>
      <c r="CH17" s="1195" t="s">
        <v>1443</v>
      </c>
      <c r="CI17" s="1195" t="s">
        <v>1444</v>
      </c>
      <c r="CJ17" s="1195" t="s">
        <v>1443</v>
      </c>
      <c r="CK17" s="1195" t="s">
        <v>1444</v>
      </c>
      <c r="CL17" s="2453"/>
      <c r="CM17" s="2451"/>
      <c r="CN17" s="2451"/>
      <c r="CO17" s="2451"/>
      <c r="CP17" s="2451"/>
      <c r="CQ17" s="2451"/>
      <c r="CR17" s="2451"/>
      <c r="CS17" s="2451"/>
      <c r="CT17" s="2451"/>
      <c r="CU17" s="2451"/>
      <c r="CV17" s="2451"/>
      <c r="CW17" s="2451"/>
      <c r="CX17" s="2470"/>
      <c r="CY17" s="1195" t="s">
        <v>1443</v>
      </c>
      <c r="CZ17" s="1195" t="s">
        <v>1444</v>
      </c>
      <c r="DA17" s="1195" t="s">
        <v>1443</v>
      </c>
      <c r="DB17" s="1195" t="s">
        <v>1444</v>
      </c>
      <c r="DC17" s="1195" t="s">
        <v>1443</v>
      </c>
      <c r="DD17" s="1195" t="s">
        <v>1444</v>
      </c>
      <c r="DE17" s="1195" t="s">
        <v>1443</v>
      </c>
      <c r="DF17" s="1195" t="s">
        <v>1444</v>
      </c>
      <c r="DG17" s="1195" t="s">
        <v>1443</v>
      </c>
      <c r="DH17" s="1195" t="s">
        <v>1444</v>
      </c>
      <c r="DI17" s="1195" t="s">
        <v>1443</v>
      </c>
      <c r="DJ17" s="1195" t="s">
        <v>1444</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514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1198</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 (01.01.2022-31.12.2028)</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1198</v>
      </c>
      <c r="B22" s="944"/>
      <c r="C22" s="929"/>
      <c r="D22" s="929"/>
      <c r="E22" s="1851"/>
      <c r="F22" s="2406">
        <v>1</v>
      </c>
      <c r="G22" s="2579" t="s">
        <v>1186</v>
      </c>
      <c r="H22" s="1214" t="s">
        <v>1445</v>
      </c>
      <c r="I22" s="1983" t="s">
        <v>1446</v>
      </c>
      <c r="J22" s="1215"/>
      <c r="K22" s="1215"/>
      <c r="L22" s="1215"/>
      <c r="M22" s="1215"/>
      <c r="N22" s="1215"/>
      <c r="O22" s="1216"/>
      <c r="P22" s="1216"/>
      <c r="Q22" s="1216"/>
      <c r="R22" s="1216"/>
      <c r="S22" s="1216"/>
      <c r="T22" s="1216"/>
      <c r="U22" s="1216"/>
      <c r="V22" s="1216"/>
      <c r="W22" s="1216"/>
      <c r="X22" s="1216"/>
      <c r="Y22" s="1216"/>
      <c r="Z22" s="1216"/>
      <c r="AA22" s="1216"/>
      <c r="AB22" s="1216"/>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v>0</v>
      </c>
      <c r="BU22" s="1216">
        <v>0</v>
      </c>
      <c r="BV22" s="1216">
        <v>0</v>
      </c>
      <c r="BW22" s="1216">
        <v>0</v>
      </c>
      <c r="BX22" s="1216">
        <v>47.22</v>
      </c>
      <c r="BY22" s="1216">
        <v>67.32</v>
      </c>
      <c r="BZ22" s="1216">
        <v>0</v>
      </c>
      <c r="CA22" s="1216">
        <v>0</v>
      </c>
      <c r="CB22" s="1216">
        <v>0.88</v>
      </c>
      <c r="CC22" s="1216">
        <v>2.17</v>
      </c>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1198</v>
      </c>
      <c r="B23" s="944"/>
      <c r="C23" s="929"/>
      <c r="D23" s="929"/>
      <c r="E23" s="929"/>
      <c r="F23" s="3354"/>
      <c r="G23" s="3355" t="s">
        <v>1447</v>
      </c>
      <c r="H23" s="3356"/>
      <c r="I23" s="3357"/>
      <c r="J23" s="3358"/>
      <c r="K23" s="3359"/>
      <c r="L23" s="3360"/>
      <c r="M23" s="3361"/>
      <c r="N23" s="3362"/>
      <c r="O23" s="3363"/>
      <c r="P23" s="3364"/>
      <c r="Q23" s="3365"/>
      <c r="R23" s="3366"/>
      <c r="S23" s="3367"/>
      <c r="T23" s="3368"/>
      <c r="U23" s="3369"/>
      <c r="V23" s="3370"/>
      <c r="W23" s="3371"/>
      <c r="X23" s="3372"/>
      <c r="Y23" s="3373"/>
      <c r="Z23" s="3374"/>
      <c r="AA23" s="3375"/>
      <c r="AB23" s="3376"/>
      <c r="AC23" s="3377"/>
      <c r="AD23" s="3378"/>
      <c r="AE23" s="3379"/>
      <c r="AF23" s="3380"/>
      <c r="AG23" s="3381"/>
      <c r="AH23" s="3382"/>
      <c r="AI23" s="3383"/>
      <c r="AJ23" s="3384"/>
      <c r="AK23" s="3385"/>
      <c r="AL23" s="3386"/>
      <c r="AM23" s="3387"/>
      <c r="AN23" s="3388"/>
      <c r="AO23" s="3389"/>
      <c r="AP23" s="3390"/>
      <c r="AQ23" s="3391"/>
      <c r="AR23" s="3392"/>
      <c r="AS23" s="3393"/>
      <c r="AT23" s="3394"/>
      <c r="AU23" s="3395"/>
      <c r="AV23" s="3396"/>
      <c r="AW23" s="3397"/>
      <c r="AX23" s="3398"/>
      <c r="AY23" s="3399"/>
      <c r="AZ23" s="3400"/>
      <c r="BA23" s="3401"/>
      <c r="BB23" s="3402"/>
      <c r="BC23" s="3403"/>
      <c r="BD23" s="3404"/>
      <c r="BE23" s="3405"/>
      <c r="BF23" s="3406"/>
      <c r="BG23" s="3407"/>
      <c r="BH23" s="3408"/>
      <c r="BI23" s="3409"/>
      <c r="BJ23" s="3410"/>
      <c r="BK23" s="3411"/>
      <c r="BL23" s="3412"/>
      <c r="BM23" s="3413"/>
      <c r="BN23" s="3414"/>
      <c r="BO23" s="3415"/>
      <c r="BP23" s="3416"/>
      <c r="BQ23" s="3417"/>
      <c r="BR23" s="3418"/>
      <c r="BS23" s="3419"/>
      <c r="BT23" s="3420"/>
      <c r="BU23" s="3421"/>
      <c r="BV23" s="3422"/>
      <c r="BW23" s="3423"/>
      <c r="BX23" s="3424"/>
      <c r="BY23" s="3425"/>
      <c r="BZ23" s="3426"/>
      <c r="CA23" s="3427"/>
      <c r="CB23" s="3428"/>
      <c r="CC23" s="3429"/>
      <c r="CD23" s="3430"/>
      <c r="CE23" s="3431"/>
      <c r="CF23" s="3432"/>
      <c r="CG23" s="3433"/>
      <c r="CH23" s="3434"/>
      <c r="CI23" s="3435"/>
      <c r="CJ23" s="3436"/>
      <c r="CK23" s="3437"/>
      <c r="CL23" s="3438"/>
      <c r="CM23" s="3439"/>
      <c r="CN23" s="3440"/>
      <c r="CO23" s="3441"/>
      <c r="CP23" s="3442"/>
      <c r="CQ23" s="3443"/>
      <c r="CR23" s="3444"/>
      <c r="CS23" s="3445"/>
      <c r="CT23" s="3446"/>
      <c r="CU23" s="3447"/>
      <c r="CV23" s="3448"/>
      <c r="CW23" s="3449"/>
      <c r="CX23" s="3450"/>
      <c r="CY23" s="3451"/>
      <c r="CZ23" s="3452"/>
      <c r="DA23" s="3453"/>
      <c r="DB23" s="3454"/>
      <c r="DC23" s="3455"/>
      <c r="DD23" s="3456"/>
      <c r="DE23" s="3457"/>
      <c r="DF23" s="3458"/>
      <c r="DG23" s="3459"/>
      <c r="DH23" s="3460"/>
      <c r="DI23" s="3461"/>
      <c r="DJ23" s="3462"/>
      <c r="DK23" s="3463"/>
      <c r="DL23" s="3464"/>
      <c r="DM23" s="3465"/>
      <c r="DN23" s="3466"/>
      <c r="DO23" s="3467"/>
      <c r="DP23" s="3468"/>
      <c r="DQ23" s="3469"/>
      <c r="DR23" s="3470"/>
      <c r="DS23" s="3471"/>
      <c r="DT23" s="3472"/>
      <c r="DU23" s="3473"/>
      <c r="DV23" s="3474"/>
      <c r="DW23" s="3475"/>
      <c r="DX23" s="3476"/>
      <c r="DY23" s="3477"/>
      <c r="DZ23" s="3478"/>
      <c r="EA23" s="3479"/>
      <c r="EB23" s="3480"/>
      <c r="EC23" s="3481"/>
      <c r="ED23" s="3482"/>
      <c r="EE23" s="3483"/>
      <c r="EF23" s="3484"/>
      <c r="EG23" s="3485"/>
      <c r="EH23" s="3486"/>
      <c r="EI23" s="3487"/>
      <c r="EJ23" s="3488"/>
      <c r="EK23" s="3489"/>
      <c r="EL23" s="3490"/>
      <c r="EM23" s="3491"/>
      <c r="EN23" s="3492"/>
      <c r="EO23" s="3493"/>
      <c r="EP23" s="3494"/>
      <c r="EQ23" s="3495"/>
      <c r="ER23" s="3496"/>
      <c r="ES23" s="3497"/>
      <c r="ET23" s="3498"/>
      <c r="EU23" s="3499"/>
      <c r="EV23" s="3500"/>
      <c r="EW23" s="3501"/>
      <c r="EX23" s="3502"/>
      <c r="EY23" s="3503"/>
      <c r="EZ23" s="3504"/>
      <c r="FA23" s="3505"/>
      <c r="FB23" s="3506"/>
      <c r="FC23" s="3507"/>
      <c r="FD23" s="3508"/>
      <c r="FE23" s="3509"/>
      <c r="FF23" s="3510"/>
      <c r="FG23" s="3511"/>
      <c r="FH23" s="3512"/>
      <c r="FI23" s="3513"/>
      <c r="FJ23" s="3514"/>
      <c r="FK23" s="3515"/>
      <c r="FL23" s="3516"/>
      <c r="FM23" s="3517"/>
      <c r="FN23" s="3518"/>
      <c r="FO23" s="3519"/>
      <c r="FP23" s="3520"/>
      <c r="FQ23" s="3521"/>
      <c r="FR23" s="3522"/>
      <c r="FS23" s="3523"/>
      <c r="FT23" s="3524"/>
      <c r="FU23" s="3525"/>
      <c r="FV23" s="3526"/>
      <c r="FW23" s="3527"/>
      <c r="FX23" s="1826"/>
      <c r="FY23" s="1066"/>
      <c r="FZ23" s="1066"/>
      <c r="GA23" s="1066"/>
      <c r="GB23" s="1066"/>
    </row>
    <row s="929" customFormat="1" customHeight="1" ht="21">
      <c r="A24" s="1328" t="s">
        <v>1209</v>
      </c>
      <c r="B24" s="944"/>
      <c r="C24" s="929"/>
      <c r="D24" s="929"/>
      <c r="E24" s="943" t="s">
        <v>22</v>
      </c>
      <c r="F24" s="1125" t="str">
        <f>INDEX(IP_MAIN_LIST_NAME_IP,MATCH(A24,IP_MAIN_LIST_IP_ID,0))&amp;" ("&amp;INDEX(IP_MAIN_START_DATE,MATCH(A24,IP_MAIN_LIST_IP_ID,0))&amp;"-"&amp;INDEX(IP_MAIN_END_DATE,MATCH(A24,IP_MAIN_LIST_IP_ID,0))&amp;")"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24" s="1207"/>
      <c r="H24" s="1208"/>
      <c r="I24" s="1208"/>
      <c r="J24" s="1208"/>
      <c r="K24" s="1208"/>
      <c r="L24" s="1208"/>
      <c r="M24" s="1208"/>
      <c r="N24" s="1208"/>
      <c r="O24" s="1207"/>
      <c r="P24" s="1207"/>
      <c r="Q24" s="1207"/>
      <c r="R24" s="1207"/>
      <c r="S24" s="1207"/>
      <c r="T24" s="1207"/>
      <c r="U24" s="1209"/>
      <c r="V24" s="1209"/>
      <c r="W24" s="1209"/>
      <c r="X24" s="1209"/>
      <c r="Y24" s="1209"/>
      <c r="Z24" s="1209"/>
      <c r="AA24" s="1209"/>
      <c r="AB24" s="1207"/>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c r="BG24" s="1208"/>
      <c r="BH24" s="1208"/>
      <c r="BI24" s="1208"/>
      <c r="BJ24" s="1208"/>
      <c r="BK24" s="1208"/>
      <c r="BL24" s="1208"/>
      <c r="BM24" s="1208"/>
      <c r="BN24" s="1208"/>
      <c r="BO24" s="1208"/>
      <c r="BP24" s="1208"/>
      <c r="BQ24" s="1208"/>
      <c r="BR24" s="1208"/>
      <c r="BS24" s="1208"/>
      <c r="BT24" s="1208"/>
      <c r="BU24" s="1208"/>
      <c r="BV24" s="1208"/>
      <c r="BW24" s="1208"/>
      <c r="BX24" s="1208"/>
      <c r="BY24" s="1208"/>
      <c r="BZ24" s="1208"/>
      <c r="CA24" s="1208"/>
      <c r="CB24" s="1208"/>
      <c r="CC24" s="1208"/>
      <c r="CD24" s="1208"/>
      <c r="CE24" s="1208"/>
      <c r="CF24" s="1208"/>
      <c r="CG24" s="1208"/>
      <c r="CH24" s="1208"/>
      <c r="CI24" s="1208"/>
      <c r="CJ24" s="1208"/>
      <c r="CK24" s="1208"/>
      <c r="CL24" s="1210"/>
      <c r="CM24" s="1210"/>
      <c r="CN24" s="1210"/>
      <c r="CO24" s="1210"/>
      <c r="CP24" s="1210"/>
      <c r="CQ24" s="1210"/>
      <c r="CR24" s="1210"/>
      <c r="CS24" s="1210"/>
      <c r="CT24" s="1210"/>
      <c r="CU24" s="1210"/>
      <c r="CV24" s="1210"/>
      <c r="CW24" s="1210"/>
      <c r="CX24" s="1210"/>
      <c r="CY24" s="1210"/>
      <c r="CZ24" s="1210"/>
      <c r="DA24" s="1210"/>
      <c r="DB24" s="1210"/>
      <c r="DC24" s="1210"/>
      <c r="DD24" s="1210"/>
      <c r="DE24" s="1210"/>
      <c r="DF24" s="1210"/>
      <c r="DG24" s="1210"/>
      <c r="DH24" s="1210"/>
      <c r="DI24" s="1210"/>
      <c r="DJ24" s="1210"/>
      <c r="DK24" s="1210"/>
      <c r="DL24" s="1210"/>
      <c r="DM24" s="1210"/>
      <c r="DN24" s="1210"/>
      <c r="DO24" s="1210"/>
      <c r="DP24" s="1210"/>
      <c r="DQ24" s="1210"/>
      <c r="DR24" s="1210"/>
      <c r="DS24" s="1210"/>
      <c r="DT24" s="1210"/>
      <c r="DU24" s="1210"/>
      <c r="DV24" s="1210"/>
      <c r="DW24" s="1210"/>
      <c r="DX24" s="1210"/>
      <c r="DY24" s="1210"/>
      <c r="DZ24" s="1210"/>
      <c r="EA24" s="1210"/>
      <c r="EB24" s="1210"/>
      <c r="EC24" s="1210"/>
      <c r="ED24" s="1210"/>
      <c r="EE24" s="1210"/>
      <c r="EF24" s="1210"/>
      <c r="EG24" s="1210"/>
      <c r="EH24" s="1210"/>
      <c r="EI24" s="1210"/>
      <c r="EJ24" s="1210"/>
      <c r="EK24" s="1210"/>
      <c r="EL24" s="1210"/>
      <c r="EM24" s="1210"/>
      <c r="EN24" s="1210"/>
      <c r="EO24" s="1210"/>
      <c r="EP24" s="1210"/>
      <c r="EQ24" s="1210"/>
      <c r="ER24" s="1210"/>
      <c r="ES24" s="1210"/>
      <c r="ET24" s="1210"/>
      <c r="EU24" s="1210"/>
      <c r="EV24" s="1210"/>
      <c r="EW24" s="1210"/>
      <c r="EX24" s="1210"/>
      <c r="EY24" s="1210"/>
      <c r="EZ24" s="1210"/>
      <c r="FA24" s="1210"/>
      <c r="FB24" s="1210"/>
      <c r="FC24" s="1210"/>
      <c r="FD24" s="1210"/>
      <c r="FE24" s="1210"/>
      <c r="FF24" s="1210"/>
      <c r="FG24" s="1210"/>
      <c r="FH24" s="1210"/>
      <c r="FI24" s="1210"/>
      <c r="FJ24" s="1210"/>
      <c r="FK24" s="1210"/>
      <c r="FL24" s="1210"/>
      <c r="FM24" s="1210"/>
      <c r="FN24" s="1210"/>
      <c r="FO24" s="1210"/>
      <c r="FP24" s="1210"/>
      <c r="FQ24" s="1210"/>
      <c r="FR24" s="1210"/>
      <c r="FS24" s="1210"/>
      <c r="FT24" s="1210"/>
      <c r="FU24" s="1210"/>
      <c r="FV24" s="1211"/>
      <c r="FW24" s="1205"/>
      <c r="FX24" s="1206"/>
      <c r="FY24" s="929"/>
      <c r="FZ24" s="929"/>
      <c r="GA24" s="929"/>
      <c r="GB24" s="929"/>
    </row>
    <row s="929" customFormat="1" customHeight="1" ht="24.75">
      <c r="A25" s="929" t="s">
        <v>1209</v>
      </c>
      <c r="B25" s="944"/>
      <c r="C25" s="929"/>
      <c r="D25" s="929"/>
      <c r="E25" s="1851"/>
      <c r="F25" s="2406">
        <v>1</v>
      </c>
      <c r="G25" s="2579" t="s">
        <v>1186</v>
      </c>
      <c r="H25" s="1214" t="s">
        <v>1445</v>
      </c>
      <c r="I25" s="1983" t="s">
        <v>1446</v>
      </c>
      <c r="J25" s="1215"/>
      <c r="K25" s="1215"/>
      <c r="L25" s="1215"/>
      <c r="M25" s="1215"/>
      <c r="N25" s="1215"/>
      <c r="O25" s="1216"/>
      <c r="P25" s="1216"/>
      <c r="Q25" s="1216"/>
      <c r="R25" s="1216"/>
      <c r="S25" s="1216"/>
      <c r="T25" s="1216"/>
      <c r="U25" s="1216"/>
      <c r="V25" s="1216"/>
      <c r="W25" s="1216"/>
      <c r="X25" s="1216"/>
      <c r="Y25" s="1216"/>
      <c r="Z25" s="1216"/>
      <c r="AA25" s="1216"/>
      <c r="AB25" s="1216"/>
      <c r="AC25" s="1215"/>
      <c r="AD25" s="1215"/>
      <c r="AE25" s="1215"/>
      <c r="AF25" s="1215"/>
      <c r="AG25" s="1215"/>
      <c r="AH25" s="1215"/>
      <c r="AI25" s="1215"/>
      <c r="AJ25" s="1215"/>
      <c r="AK25" s="1215"/>
      <c r="AL25" s="1215"/>
      <c r="AM25" s="1215"/>
      <c r="AN25" s="1215"/>
      <c r="AO25" s="1215"/>
      <c r="AP25" s="1215"/>
      <c r="AQ25" s="1215"/>
      <c r="AR25" s="1215"/>
      <c r="AS25" s="1215"/>
      <c r="AT25" s="1215"/>
      <c r="AU25" s="1215"/>
      <c r="AV25" s="1215"/>
      <c r="AW25" s="1215"/>
      <c r="AX25" s="1215"/>
      <c r="AY25" s="1215"/>
      <c r="AZ25" s="1215"/>
      <c r="BA25" s="1215"/>
      <c r="BB25" s="1215"/>
      <c r="BC25" s="1215"/>
      <c r="BD25" s="1215"/>
      <c r="BE25" s="1215"/>
      <c r="BF25" s="1215"/>
      <c r="BG25" s="1215"/>
      <c r="BH25" s="1215"/>
      <c r="BI25" s="1215"/>
      <c r="BJ25" s="1215"/>
      <c r="BK25" s="1215"/>
      <c r="BL25" s="1215"/>
      <c r="BM25" s="1215"/>
      <c r="BN25" s="1215"/>
      <c r="BO25" s="1215"/>
      <c r="BP25" s="1215"/>
      <c r="BQ25" s="1215"/>
      <c r="BR25" s="1215"/>
      <c r="BS25" s="1215"/>
      <c r="BT25" s="1216">
        <v>0</v>
      </c>
      <c r="BU25" s="1216">
        <v>0</v>
      </c>
      <c r="BV25" s="1216">
        <v>0</v>
      </c>
      <c r="BW25" s="1216">
        <v>0</v>
      </c>
      <c r="BX25" s="1216">
        <v>52.7</v>
      </c>
      <c r="BY25" s="1216">
        <v>57.26</v>
      </c>
      <c r="BZ25" s="1216">
        <v>0</v>
      </c>
      <c r="CA25" s="1216">
        <v>0</v>
      </c>
      <c r="CB25" s="1216">
        <v>0.65</v>
      </c>
      <c r="CC25" s="1216">
        <v>0.49</v>
      </c>
      <c r="CD25" s="1216"/>
      <c r="CE25" s="1216"/>
      <c r="CF25" s="1216"/>
      <c r="CG25" s="1216"/>
      <c r="CH25" s="1216"/>
      <c r="CI25" s="1216"/>
      <c r="CJ25" s="1216"/>
      <c r="CK25" s="1216"/>
      <c r="CL25" s="1215"/>
      <c r="CM25" s="1215"/>
      <c r="CN25" s="1215"/>
      <c r="CO25" s="1215"/>
      <c r="CP25" s="1215"/>
      <c r="CQ25" s="1215"/>
      <c r="CR25" s="1215"/>
      <c r="CS25" s="1215"/>
      <c r="CT25" s="1215"/>
      <c r="CU25" s="1215"/>
      <c r="CV25" s="1215"/>
      <c r="CW25" s="1215"/>
      <c r="CX25" s="1215"/>
      <c r="CY25" s="1216"/>
      <c r="CZ25" s="1216"/>
      <c r="DA25" s="1216"/>
      <c r="DB25" s="1216"/>
      <c r="DC25" s="1216"/>
      <c r="DD25" s="1216"/>
      <c r="DE25" s="1216"/>
      <c r="DF25" s="1216"/>
      <c r="DG25" s="1216"/>
      <c r="DH25" s="1216"/>
      <c r="DI25" s="1216"/>
      <c r="DJ25" s="1216"/>
      <c r="DK25" s="1215"/>
      <c r="DL25" s="1215"/>
      <c r="DM25" s="1215"/>
      <c r="DN25" s="1215"/>
      <c r="DO25" s="1215"/>
      <c r="DP25" s="1215"/>
      <c r="DQ25" s="1215"/>
      <c r="DR25" s="1215"/>
      <c r="DS25" s="1215"/>
      <c r="DT25" s="1215"/>
      <c r="DU25" s="1215"/>
      <c r="DV25" s="1215"/>
      <c r="DW25" s="1215"/>
      <c r="DX25" s="1215"/>
      <c r="DY25" s="1215"/>
      <c r="DZ25" s="1215"/>
      <c r="EA25" s="1215"/>
      <c r="EB25" s="1215"/>
      <c r="EC25" s="1215"/>
      <c r="ED25" s="1215"/>
      <c r="EE25" s="1215"/>
      <c r="EF25" s="1215"/>
      <c r="EG25" s="1215"/>
      <c r="EH25" s="1215"/>
      <c r="EI25" s="1215"/>
      <c r="EJ25" s="1215"/>
      <c r="EK25" s="1215"/>
      <c r="EL25" s="1215"/>
      <c r="EM25" s="1215"/>
      <c r="EN25" s="1215"/>
      <c r="EO25" s="1215"/>
      <c r="EP25" s="1215"/>
      <c r="EQ25" s="1215"/>
      <c r="ER25" s="1215"/>
      <c r="ES25" s="1215"/>
      <c r="ET25" s="1215"/>
      <c r="EU25" s="1215"/>
      <c r="EV25" s="1215"/>
      <c r="EW25" s="1215"/>
      <c r="EX25" s="1215"/>
      <c r="EY25" s="1215"/>
      <c r="EZ25" s="1215"/>
      <c r="FA25" s="1215"/>
      <c r="FB25" s="1215"/>
      <c r="FC25" s="1215"/>
      <c r="FD25" s="1215"/>
      <c r="FE25" s="1215"/>
      <c r="FF25" s="1215"/>
      <c r="FG25" s="1215"/>
      <c r="FH25" s="1215"/>
      <c r="FI25" s="1215"/>
      <c r="FJ25" s="1215"/>
      <c r="FK25" s="1215"/>
      <c r="FL25" s="1215"/>
      <c r="FM25" s="1215"/>
      <c r="FN25" s="1215"/>
      <c r="FO25" s="1215"/>
      <c r="FP25" s="1215"/>
      <c r="FQ25" s="1215"/>
      <c r="FR25" s="1215"/>
      <c r="FS25" s="1215"/>
      <c r="FT25" s="1215"/>
      <c r="FU25" s="1215"/>
      <c r="FV25" s="1215"/>
      <c r="FW25" s="1215"/>
      <c r="FX25" s="1206"/>
      <c r="FY25" s="929"/>
      <c r="FZ25" s="929"/>
      <c r="GA25" s="929"/>
      <c r="GB25" s="929"/>
    </row>
    <row s="929" customFormat="1" customHeight="1" ht="12">
      <c r="A26" s="929" t="s">
        <v>1209</v>
      </c>
      <c r="B26" s="944"/>
      <c r="C26" s="929"/>
      <c r="D26" s="929"/>
      <c r="E26" s="929"/>
      <c r="F26" s="3528"/>
      <c r="G26" s="3529" t="s">
        <v>1447</v>
      </c>
      <c r="H26" s="3530"/>
      <c r="I26" s="3531"/>
      <c r="J26" s="3532"/>
      <c r="K26" s="3533"/>
      <c r="L26" s="3534"/>
      <c r="M26" s="3535"/>
      <c r="N26" s="3536"/>
      <c r="O26" s="3537"/>
      <c r="P26" s="3538"/>
      <c r="Q26" s="3539"/>
      <c r="R26" s="3540"/>
      <c r="S26" s="3541"/>
      <c r="T26" s="3542"/>
      <c r="U26" s="3543"/>
      <c r="V26" s="3544"/>
      <c r="W26" s="3545"/>
      <c r="X26" s="3546"/>
      <c r="Y26" s="3547"/>
      <c r="Z26" s="3548"/>
      <c r="AA26" s="3549"/>
      <c r="AB26" s="3550"/>
      <c r="AC26" s="3551"/>
      <c r="AD26" s="3552"/>
      <c r="AE26" s="3553"/>
      <c r="AF26" s="3554"/>
      <c r="AG26" s="3555"/>
      <c r="AH26" s="3556"/>
      <c r="AI26" s="3557"/>
      <c r="AJ26" s="3558"/>
      <c r="AK26" s="3559"/>
      <c r="AL26" s="3560"/>
      <c r="AM26" s="3561"/>
      <c r="AN26" s="3562"/>
      <c r="AO26" s="3563"/>
      <c r="AP26" s="3564"/>
      <c r="AQ26" s="3565"/>
      <c r="AR26" s="3566"/>
      <c r="AS26" s="3567"/>
      <c r="AT26" s="3568"/>
      <c r="AU26" s="3569"/>
      <c r="AV26" s="3570"/>
      <c r="AW26" s="3571"/>
      <c r="AX26" s="3572"/>
      <c r="AY26" s="3573"/>
      <c r="AZ26" s="3574"/>
      <c r="BA26" s="3575"/>
      <c r="BB26" s="3576"/>
      <c r="BC26" s="3577"/>
      <c r="BD26" s="3578"/>
      <c r="BE26" s="3579"/>
      <c r="BF26" s="3580"/>
      <c r="BG26" s="3581"/>
      <c r="BH26" s="3582"/>
      <c r="BI26" s="3583"/>
      <c r="BJ26" s="3584"/>
      <c r="BK26" s="3585"/>
      <c r="BL26" s="3586"/>
      <c r="BM26" s="3587"/>
      <c r="BN26" s="3588"/>
      <c r="BO26" s="3589"/>
      <c r="BP26" s="3590"/>
      <c r="BQ26" s="3591"/>
      <c r="BR26" s="3592"/>
      <c r="BS26" s="3593"/>
      <c r="BT26" s="3594"/>
      <c r="BU26" s="3595"/>
      <c r="BV26" s="3596"/>
      <c r="BW26" s="3597"/>
      <c r="BX26" s="3598"/>
      <c r="BY26" s="3599"/>
      <c r="BZ26" s="3600"/>
      <c r="CA26" s="3601"/>
      <c r="CB26" s="3602"/>
      <c r="CC26" s="3603"/>
      <c r="CD26" s="3604"/>
      <c r="CE26" s="3605"/>
      <c r="CF26" s="3606"/>
      <c r="CG26" s="3607"/>
      <c r="CH26" s="3608"/>
      <c r="CI26" s="3609"/>
      <c r="CJ26" s="3610"/>
      <c r="CK26" s="3611"/>
      <c r="CL26" s="3612"/>
      <c r="CM26" s="3613"/>
      <c r="CN26" s="3614"/>
      <c r="CO26" s="3615"/>
      <c r="CP26" s="3616"/>
      <c r="CQ26" s="3617"/>
      <c r="CR26" s="3618"/>
      <c r="CS26" s="3619"/>
      <c r="CT26" s="3620"/>
      <c r="CU26" s="3621"/>
      <c r="CV26" s="3622"/>
      <c r="CW26" s="3623"/>
      <c r="CX26" s="3624"/>
      <c r="CY26" s="3625"/>
      <c r="CZ26" s="3626"/>
      <c r="DA26" s="3627"/>
      <c r="DB26" s="3628"/>
      <c r="DC26" s="3629"/>
      <c r="DD26" s="3630"/>
      <c r="DE26" s="3631"/>
      <c r="DF26" s="3632"/>
      <c r="DG26" s="3633"/>
      <c r="DH26" s="3634"/>
      <c r="DI26" s="3635"/>
      <c r="DJ26" s="3636"/>
      <c r="DK26" s="3637"/>
      <c r="DL26" s="3638"/>
      <c r="DM26" s="3639"/>
      <c r="DN26" s="3640"/>
      <c r="DO26" s="3641"/>
      <c r="DP26" s="3642"/>
      <c r="DQ26" s="3643"/>
      <c r="DR26" s="3644"/>
      <c r="DS26" s="3645"/>
      <c r="DT26" s="3646"/>
      <c r="DU26" s="3647"/>
      <c r="DV26" s="3648"/>
      <c r="DW26" s="3649"/>
      <c r="DX26" s="3650"/>
      <c r="DY26" s="3651"/>
      <c r="DZ26" s="3652"/>
      <c r="EA26" s="3653"/>
      <c r="EB26" s="3654"/>
      <c r="EC26" s="3655"/>
      <c r="ED26" s="3656"/>
      <c r="EE26" s="3657"/>
      <c r="EF26" s="3658"/>
      <c r="EG26" s="3659"/>
      <c r="EH26" s="3660"/>
      <c r="EI26" s="3661"/>
      <c r="EJ26" s="3662"/>
      <c r="EK26" s="3663"/>
      <c r="EL26" s="3664"/>
      <c r="EM26" s="3665"/>
      <c r="EN26" s="3666"/>
      <c r="EO26" s="3667"/>
      <c r="EP26" s="3668"/>
      <c r="EQ26" s="3669"/>
      <c r="ER26" s="3670"/>
      <c r="ES26" s="3671"/>
      <c r="ET26" s="3672"/>
      <c r="EU26" s="3673"/>
      <c r="EV26" s="3674"/>
      <c r="EW26" s="3675"/>
      <c r="EX26" s="3676"/>
      <c r="EY26" s="3677"/>
      <c r="EZ26" s="3678"/>
      <c r="FA26" s="3679"/>
      <c r="FB26" s="3680"/>
      <c r="FC26" s="3681"/>
      <c r="FD26" s="3682"/>
      <c r="FE26" s="3683"/>
      <c r="FF26" s="3684"/>
      <c r="FG26" s="3685"/>
      <c r="FH26" s="3686"/>
      <c r="FI26" s="3687"/>
      <c r="FJ26" s="3688"/>
      <c r="FK26" s="3689"/>
      <c r="FL26" s="3690"/>
      <c r="FM26" s="3691"/>
      <c r="FN26" s="3692"/>
      <c r="FO26" s="3693"/>
      <c r="FP26" s="3694"/>
      <c r="FQ26" s="3695"/>
      <c r="FR26" s="3696"/>
      <c r="FS26" s="3697"/>
      <c r="FT26" s="3698"/>
      <c r="FU26" s="3699"/>
      <c r="FV26" s="3700"/>
      <c r="FW26" s="3701"/>
      <c r="FX26" s="1826"/>
      <c r="FY26" s="1066"/>
      <c r="FZ26" s="1066"/>
      <c r="GA26" s="1066"/>
      <c r="GB26" s="1066"/>
    </row>
    <row s="929" customFormat="1" customHeight="1" ht="21">
      <c r="A27" s="1328" t="s">
        <v>1219</v>
      </c>
      <c r="B27" s="944"/>
      <c r="C27" s="929"/>
      <c r="D27" s="929"/>
      <c r="E27" s="943" t="s">
        <v>22</v>
      </c>
      <c r="F27" s="1125" t="str">
        <f>INDEX(IP_MAIN_LIST_NAME_IP,MATCH(A27,IP_MAIN_LIST_IP_ID,0))&amp;" ("&amp;INDEX(IP_MAIN_START_DATE,MATCH(A27,IP_MAIN_LIST_IP_ID,0))&amp;"-"&amp;INDEX(IP_MAIN_END_DATE,MATCH(A27,IP_MAIN_LIST_IP_ID,0))&amp;")"</f>
        <v>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 (01.01.2021-31.12.2031)</v>
      </c>
      <c r="G27" s="1207"/>
      <c r="H27" s="1208"/>
      <c r="I27" s="1208"/>
      <c r="J27" s="1208"/>
      <c r="K27" s="1208"/>
      <c r="L27" s="1208"/>
      <c r="M27" s="1208"/>
      <c r="N27" s="1208"/>
      <c r="O27" s="1207"/>
      <c r="P27" s="1207"/>
      <c r="Q27" s="1207"/>
      <c r="R27" s="1207"/>
      <c r="S27" s="1207"/>
      <c r="T27" s="1207"/>
      <c r="U27" s="1209"/>
      <c r="V27" s="1209"/>
      <c r="W27" s="1209"/>
      <c r="X27" s="1209"/>
      <c r="Y27" s="1209"/>
      <c r="Z27" s="1209"/>
      <c r="AA27" s="1209"/>
      <c r="AB27" s="1207"/>
      <c r="AC27" s="1208"/>
      <c r="AD27" s="1208"/>
      <c r="AE27" s="1208"/>
      <c r="AF27" s="1208"/>
      <c r="AG27" s="1208"/>
      <c r="AH27" s="1208"/>
      <c r="AI27" s="1208"/>
      <c r="AJ27" s="1208"/>
      <c r="AK27" s="1208"/>
      <c r="AL27" s="1208"/>
      <c r="AM27" s="1208"/>
      <c r="AN27" s="1208"/>
      <c r="AO27" s="1208"/>
      <c r="AP27" s="1208"/>
      <c r="AQ27" s="1208"/>
      <c r="AR27" s="1208"/>
      <c r="AS27" s="1208"/>
      <c r="AT27" s="1208"/>
      <c r="AU27" s="1208"/>
      <c r="AV27" s="1208"/>
      <c r="AW27" s="1208"/>
      <c r="AX27" s="1208"/>
      <c r="AY27" s="1208"/>
      <c r="AZ27" s="1208"/>
      <c r="BA27" s="1208"/>
      <c r="BB27" s="1208"/>
      <c r="BC27" s="1208"/>
      <c r="BD27" s="1208"/>
      <c r="BE27" s="1208"/>
      <c r="BF27" s="1208"/>
      <c r="BG27" s="1208"/>
      <c r="BH27" s="1208"/>
      <c r="BI27" s="1208"/>
      <c r="BJ27" s="1208"/>
      <c r="BK27" s="1208"/>
      <c r="BL27" s="1208"/>
      <c r="BM27" s="1208"/>
      <c r="BN27" s="1208"/>
      <c r="BO27" s="1208"/>
      <c r="BP27" s="1208"/>
      <c r="BQ27" s="1208"/>
      <c r="BR27" s="1208"/>
      <c r="BS27" s="1208"/>
      <c r="BT27" s="1208"/>
      <c r="BU27" s="1208"/>
      <c r="BV27" s="1208"/>
      <c r="BW27" s="1208"/>
      <c r="BX27" s="1208"/>
      <c r="BY27" s="1208"/>
      <c r="BZ27" s="1208"/>
      <c r="CA27" s="1208"/>
      <c r="CB27" s="1208"/>
      <c r="CC27" s="1208"/>
      <c r="CD27" s="1208"/>
      <c r="CE27" s="1208"/>
      <c r="CF27" s="1208"/>
      <c r="CG27" s="1208"/>
      <c r="CH27" s="1208"/>
      <c r="CI27" s="1208"/>
      <c r="CJ27" s="1208"/>
      <c r="CK27" s="1208"/>
      <c r="CL27" s="1210"/>
      <c r="CM27" s="1210"/>
      <c r="CN27" s="1210"/>
      <c r="CO27" s="1210"/>
      <c r="CP27" s="1210"/>
      <c r="CQ27" s="1210"/>
      <c r="CR27" s="1210"/>
      <c r="CS27" s="1210"/>
      <c r="CT27" s="1210"/>
      <c r="CU27" s="1210"/>
      <c r="CV27" s="1210"/>
      <c r="CW27" s="1210"/>
      <c r="CX27" s="1210"/>
      <c r="CY27" s="1210"/>
      <c r="CZ27" s="1210"/>
      <c r="DA27" s="1210"/>
      <c r="DB27" s="1210"/>
      <c r="DC27" s="1210"/>
      <c r="DD27" s="1210"/>
      <c r="DE27" s="1210"/>
      <c r="DF27" s="1210"/>
      <c r="DG27" s="1210"/>
      <c r="DH27" s="1210"/>
      <c r="DI27" s="1210"/>
      <c r="DJ27" s="1210"/>
      <c r="DK27" s="1210"/>
      <c r="DL27" s="1210"/>
      <c r="DM27" s="1210"/>
      <c r="DN27" s="1210"/>
      <c r="DO27" s="1210"/>
      <c r="DP27" s="1210"/>
      <c r="DQ27" s="1210"/>
      <c r="DR27" s="1210"/>
      <c r="DS27" s="1210"/>
      <c r="DT27" s="1210"/>
      <c r="DU27" s="1210"/>
      <c r="DV27" s="1210"/>
      <c r="DW27" s="1210"/>
      <c r="DX27" s="1210"/>
      <c r="DY27" s="1210"/>
      <c r="DZ27" s="1210"/>
      <c r="EA27" s="1210"/>
      <c r="EB27" s="1210"/>
      <c r="EC27" s="1210"/>
      <c r="ED27" s="1210"/>
      <c r="EE27" s="1210"/>
      <c r="EF27" s="1210"/>
      <c r="EG27" s="1210"/>
      <c r="EH27" s="1210"/>
      <c r="EI27" s="1210"/>
      <c r="EJ27" s="1210"/>
      <c r="EK27" s="1210"/>
      <c r="EL27" s="1210"/>
      <c r="EM27" s="1210"/>
      <c r="EN27" s="1210"/>
      <c r="EO27" s="1210"/>
      <c r="EP27" s="1210"/>
      <c r="EQ27" s="1210"/>
      <c r="ER27" s="1210"/>
      <c r="ES27" s="1210"/>
      <c r="ET27" s="1210"/>
      <c r="EU27" s="1210"/>
      <c r="EV27" s="1210"/>
      <c r="EW27" s="1210"/>
      <c r="EX27" s="1210"/>
      <c r="EY27" s="1210"/>
      <c r="EZ27" s="1210"/>
      <c r="FA27" s="1210"/>
      <c r="FB27" s="1210"/>
      <c r="FC27" s="1210"/>
      <c r="FD27" s="1210"/>
      <c r="FE27" s="1210"/>
      <c r="FF27" s="1210"/>
      <c r="FG27" s="1210"/>
      <c r="FH27" s="1210"/>
      <c r="FI27" s="1210"/>
      <c r="FJ27" s="1210"/>
      <c r="FK27" s="1210"/>
      <c r="FL27" s="1210"/>
      <c r="FM27" s="1210"/>
      <c r="FN27" s="1210"/>
      <c r="FO27" s="1210"/>
      <c r="FP27" s="1210"/>
      <c r="FQ27" s="1210"/>
      <c r="FR27" s="1210"/>
      <c r="FS27" s="1210"/>
      <c r="FT27" s="1210"/>
      <c r="FU27" s="1210"/>
      <c r="FV27" s="1211"/>
      <c r="FW27" s="1205"/>
      <c r="FX27" s="1206"/>
      <c r="FY27" s="929"/>
      <c r="FZ27" s="929"/>
      <c r="GA27" s="929"/>
      <c r="GB27" s="929"/>
    </row>
    <row s="929" customFormat="1" customHeight="1" ht="24.75">
      <c r="A28" s="929" t="s">
        <v>1219</v>
      </c>
      <c r="B28" s="944"/>
      <c r="C28" s="929"/>
      <c r="D28" s="929"/>
      <c r="E28" s="1851"/>
      <c r="F28" s="2406">
        <v>1</v>
      </c>
      <c r="G28" s="2579" t="s">
        <v>1186</v>
      </c>
      <c r="H28" s="1214" t="s">
        <v>1445</v>
      </c>
      <c r="I28" s="1983" t="s">
        <v>1446</v>
      </c>
      <c r="J28" s="1215"/>
      <c r="K28" s="1215"/>
      <c r="L28" s="1215"/>
      <c r="M28" s="1215"/>
      <c r="N28" s="1215"/>
      <c r="O28" s="1216"/>
      <c r="P28" s="1216"/>
      <c r="Q28" s="1216"/>
      <c r="R28" s="1216"/>
      <c r="S28" s="1216"/>
      <c r="T28" s="1216"/>
      <c r="U28" s="1216"/>
      <c r="V28" s="1216"/>
      <c r="W28" s="1216"/>
      <c r="X28" s="1216"/>
      <c r="Y28" s="1216"/>
      <c r="Z28" s="1216"/>
      <c r="AA28" s="1216"/>
      <c r="AB28" s="1216"/>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1215"/>
      <c r="BB28" s="1215"/>
      <c r="BC28" s="1215"/>
      <c r="BD28" s="1215"/>
      <c r="BE28" s="1215"/>
      <c r="BF28" s="1215"/>
      <c r="BG28" s="1215"/>
      <c r="BH28" s="1215"/>
      <c r="BI28" s="1215"/>
      <c r="BJ28" s="1215"/>
      <c r="BK28" s="1215"/>
      <c r="BL28" s="1215"/>
      <c r="BM28" s="1215"/>
      <c r="BN28" s="1215"/>
      <c r="BO28" s="1215"/>
      <c r="BP28" s="1215"/>
      <c r="BQ28" s="1215"/>
      <c r="BR28" s="1215"/>
      <c r="BS28" s="1215"/>
      <c r="BT28" s="1216">
        <v>0</v>
      </c>
      <c r="BU28" s="1216">
        <v>0</v>
      </c>
      <c r="BV28" s="1216">
        <v>0</v>
      </c>
      <c r="BW28" s="1216">
        <v>0</v>
      </c>
      <c r="BX28" s="1216">
        <v>0</v>
      </c>
      <c r="BY28" s="1216">
        <v>0</v>
      </c>
      <c r="BZ28" s="1216">
        <v>0</v>
      </c>
      <c r="CA28" s="1216">
        <v>0</v>
      </c>
      <c r="CB28" s="1216">
        <v>0</v>
      </c>
      <c r="CC28" s="1216">
        <v>0</v>
      </c>
      <c r="CD28" s="1216"/>
      <c r="CE28" s="1216"/>
      <c r="CF28" s="1216"/>
      <c r="CG28" s="1216"/>
      <c r="CH28" s="1216"/>
      <c r="CI28" s="1216"/>
      <c r="CJ28" s="1216"/>
      <c r="CK28" s="1216"/>
      <c r="CL28" s="1215"/>
      <c r="CM28" s="1215"/>
      <c r="CN28" s="1215"/>
      <c r="CO28" s="1215"/>
      <c r="CP28" s="1215"/>
      <c r="CQ28" s="1215"/>
      <c r="CR28" s="1215"/>
      <c r="CS28" s="1215"/>
      <c r="CT28" s="1215"/>
      <c r="CU28" s="1215"/>
      <c r="CV28" s="1215"/>
      <c r="CW28" s="1215"/>
      <c r="CX28" s="1215"/>
      <c r="CY28" s="1216"/>
      <c r="CZ28" s="1216"/>
      <c r="DA28" s="1216"/>
      <c r="DB28" s="1216"/>
      <c r="DC28" s="1216"/>
      <c r="DD28" s="1216"/>
      <c r="DE28" s="1216"/>
      <c r="DF28" s="1216"/>
      <c r="DG28" s="1216"/>
      <c r="DH28" s="1216"/>
      <c r="DI28" s="1216"/>
      <c r="DJ28" s="1216"/>
      <c r="DK28" s="1215"/>
      <c r="DL28" s="1215"/>
      <c r="DM28" s="1215"/>
      <c r="DN28" s="1215"/>
      <c r="DO28" s="1215"/>
      <c r="DP28" s="1215"/>
      <c r="DQ28" s="1215"/>
      <c r="DR28" s="1215"/>
      <c r="DS28" s="1215"/>
      <c r="DT28" s="1215"/>
      <c r="DU28" s="1215"/>
      <c r="DV28" s="1215"/>
      <c r="DW28" s="1215"/>
      <c r="DX28" s="1215"/>
      <c r="DY28" s="1215"/>
      <c r="DZ28" s="1215"/>
      <c r="EA28" s="1215"/>
      <c r="EB28" s="1215"/>
      <c r="EC28" s="1215"/>
      <c r="ED28" s="1215"/>
      <c r="EE28" s="1215"/>
      <c r="EF28" s="1215"/>
      <c r="EG28" s="1215"/>
      <c r="EH28" s="1215"/>
      <c r="EI28" s="1215"/>
      <c r="EJ28" s="1215"/>
      <c r="EK28" s="1215"/>
      <c r="EL28" s="1215"/>
      <c r="EM28" s="1215"/>
      <c r="EN28" s="1215"/>
      <c r="EO28" s="1215"/>
      <c r="EP28" s="1215"/>
      <c r="EQ28" s="1215"/>
      <c r="ER28" s="1215"/>
      <c r="ES28" s="1215"/>
      <c r="ET28" s="1215"/>
      <c r="EU28" s="1215"/>
      <c r="EV28" s="1215"/>
      <c r="EW28" s="1215"/>
      <c r="EX28" s="1215"/>
      <c r="EY28" s="1215"/>
      <c r="EZ28" s="1215"/>
      <c r="FA28" s="1215"/>
      <c r="FB28" s="1215"/>
      <c r="FC28" s="1215"/>
      <c r="FD28" s="1215"/>
      <c r="FE28" s="1215"/>
      <c r="FF28" s="1215"/>
      <c r="FG28" s="1215"/>
      <c r="FH28" s="1215"/>
      <c r="FI28" s="1215"/>
      <c r="FJ28" s="1215"/>
      <c r="FK28" s="1215"/>
      <c r="FL28" s="1215"/>
      <c r="FM28" s="1215"/>
      <c r="FN28" s="1215"/>
      <c r="FO28" s="1215"/>
      <c r="FP28" s="1215"/>
      <c r="FQ28" s="1215"/>
      <c r="FR28" s="1215"/>
      <c r="FS28" s="1215"/>
      <c r="FT28" s="1215"/>
      <c r="FU28" s="1215"/>
      <c r="FV28" s="1215"/>
      <c r="FW28" s="1215"/>
      <c r="FX28" s="1206"/>
      <c r="FY28" s="929"/>
      <c r="FZ28" s="929"/>
      <c r="GA28" s="929"/>
      <c r="GB28" s="929"/>
    </row>
    <row s="929" customFormat="1" customHeight="1" ht="12">
      <c r="A29" s="929" t="s">
        <v>1219</v>
      </c>
      <c r="B29" s="944"/>
      <c r="C29" s="929"/>
      <c r="D29" s="929"/>
      <c r="E29" s="929"/>
      <c r="F29" s="3702"/>
      <c r="G29" s="3703" t="s">
        <v>1447</v>
      </c>
      <c r="H29" s="3704"/>
      <c r="I29" s="3705"/>
      <c r="J29" s="3706"/>
      <c r="K29" s="3707"/>
      <c r="L29" s="3708"/>
      <c r="M29" s="3709"/>
      <c r="N29" s="3710"/>
      <c r="O29" s="3711"/>
      <c r="P29" s="3712"/>
      <c r="Q29" s="3713"/>
      <c r="R29" s="3714"/>
      <c r="S29" s="3715"/>
      <c r="T29" s="3716"/>
      <c r="U29" s="3717"/>
      <c r="V29" s="3718"/>
      <c r="W29" s="3719"/>
      <c r="X29" s="3720"/>
      <c r="Y29" s="3721"/>
      <c r="Z29" s="3722"/>
      <c r="AA29" s="3723"/>
      <c r="AB29" s="3724"/>
      <c r="AC29" s="3725"/>
      <c r="AD29" s="3726"/>
      <c r="AE29" s="3727"/>
      <c r="AF29" s="3728"/>
      <c r="AG29" s="3729"/>
      <c r="AH29" s="3730"/>
      <c r="AI29" s="3731"/>
      <c r="AJ29" s="3732"/>
      <c r="AK29" s="3733"/>
      <c r="AL29" s="3734"/>
      <c r="AM29" s="3735"/>
      <c r="AN29" s="3736"/>
      <c r="AO29" s="3737"/>
      <c r="AP29" s="3738"/>
      <c r="AQ29" s="3739"/>
      <c r="AR29" s="3740"/>
      <c r="AS29" s="3741"/>
      <c r="AT29" s="3742"/>
      <c r="AU29" s="3743"/>
      <c r="AV29" s="3744"/>
      <c r="AW29" s="3745"/>
      <c r="AX29" s="3746"/>
      <c r="AY29" s="3747"/>
      <c r="AZ29" s="3748"/>
      <c r="BA29" s="3749"/>
      <c r="BB29" s="3750"/>
      <c r="BC29" s="3751"/>
      <c r="BD29" s="3752"/>
      <c r="BE29" s="3753"/>
      <c r="BF29" s="3754"/>
      <c r="BG29" s="3755"/>
      <c r="BH29" s="3756"/>
      <c r="BI29" s="3757"/>
      <c r="BJ29" s="3758"/>
      <c r="BK29" s="3759"/>
      <c r="BL29" s="3760"/>
      <c r="BM29" s="3761"/>
      <c r="BN29" s="3762"/>
      <c r="BO29" s="3763"/>
      <c r="BP29" s="3764"/>
      <c r="BQ29" s="3765"/>
      <c r="BR29" s="3766"/>
      <c r="BS29" s="3767"/>
      <c r="BT29" s="3768"/>
      <c r="BU29" s="3769"/>
      <c r="BV29" s="3770"/>
      <c r="BW29" s="3771"/>
      <c r="BX29" s="3772"/>
      <c r="BY29" s="3773"/>
      <c r="BZ29" s="3774"/>
      <c r="CA29" s="3775"/>
      <c r="CB29" s="3776"/>
      <c r="CC29" s="3777"/>
      <c r="CD29" s="3778"/>
      <c r="CE29" s="3779"/>
      <c r="CF29" s="3780"/>
      <c r="CG29" s="3781"/>
      <c r="CH29" s="3782"/>
      <c r="CI29" s="3783"/>
      <c r="CJ29" s="3784"/>
      <c r="CK29" s="3785"/>
      <c r="CL29" s="3786"/>
      <c r="CM29" s="3787"/>
      <c r="CN29" s="3788"/>
      <c r="CO29" s="3789"/>
      <c r="CP29" s="3790"/>
      <c r="CQ29" s="3791"/>
      <c r="CR29" s="3792"/>
      <c r="CS29" s="3793"/>
      <c r="CT29" s="3794"/>
      <c r="CU29" s="3795"/>
      <c r="CV29" s="3796"/>
      <c r="CW29" s="3797"/>
      <c r="CX29" s="3798"/>
      <c r="CY29" s="3799"/>
      <c r="CZ29" s="3800"/>
      <c r="DA29" s="3801"/>
      <c r="DB29" s="3802"/>
      <c r="DC29" s="3803"/>
      <c r="DD29" s="3804"/>
      <c r="DE29" s="3805"/>
      <c r="DF29" s="3806"/>
      <c r="DG29" s="3807"/>
      <c r="DH29" s="3808"/>
      <c r="DI29" s="3809"/>
      <c r="DJ29" s="3810"/>
      <c r="DK29" s="3811"/>
      <c r="DL29" s="3812"/>
      <c r="DM29" s="3813"/>
      <c r="DN29" s="3814"/>
      <c r="DO29" s="3815"/>
      <c r="DP29" s="3816"/>
      <c r="DQ29" s="3817"/>
      <c r="DR29" s="3818"/>
      <c r="DS29" s="3819"/>
      <c r="DT29" s="3820"/>
      <c r="DU29" s="3821"/>
      <c r="DV29" s="3822"/>
      <c r="DW29" s="3823"/>
      <c r="DX29" s="3824"/>
      <c r="DY29" s="3825"/>
      <c r="DZ29" s="3826"/>
      <c r="EA29" s="3827"/>
      <c r="EB29" s="3828"/>
      <c r="EC29" s="3829"/>
      <c r="ED29" s="3830"/>
      <c r="EE29" s="3831"/>
      <c r="EF29" s="3832"/>
      <c r="EG29" s="3833"/>
      <c r="EH29" s="3834"/>
      <c r="EI29" s="3835"/>
      <c r="EJ29" s="3836"/>
      <c r="EK29" s="3837"/>
      <c r="EL29" s="3838"/>
      <c r="EM29" s="3839"/>
      <c r="EN29" s="3840"/>
      <c r="EO29" s="3841"/>
      <c r="EP29" s="3842"/>
      <c r="EQ29" s="3843"/>
      <c r="ER29" s="3844"/>
      <c r="ES29" s="3845"/>
      <c r="ET29" s="3846"/>
      <c r="EU29" s="3847"/>
      <c r="EV29" s="3848"/>
      <c r="EW29" s="3849"/>
      <c r="EX29" s="3850"/>
      <c r="EY29" s="3851"/>
      <c r="EZ29" s="3852"/>
      <c r="FA29" s="3853"/>
      <c r="FB29" s="3854"/>
      <c r="FC29" s="3855"/>
      <c r="FD29" s="3856"/>
      <c r="FE29" s="3857"/>
      <c r="FF29" s="3858"/>
      <c r="FG29" s="3859"/>
      <c r="FH29" s="3860"/>
      <c r="FI29" s="3861"/>
      <c r="FJ29" s="3862"/>
      <c r="FK29" s="3863"/>
      <c r="FL29" s="3864"/>
      <c r="FM29" s="3865"/>
      <c r="FN29" s="3866"/>
      <c r="FO29" s="3867"/>
      <c r="FP29" s="3868"/>
      <c r="FQ29" s="3869"/>
      <c r="FR29" s="3870"/>
      <c r="FS29" s="3871"/>
      <c r="FT29" s="3872"/>
      <c r="FU29" s="3873"/>
      <c r="FV29" s="3874"/>
      <c r="FW29" s="3875"/>
      <c r="FX29" s="1826"/>
      <c r="FY29" s="1066"/>
      <c r="FZ29" s="1066"/>
      <c r="GA29" s="1066"/>
      <c r="GB29" s="1066"/>
    </row>
    <row s="929" customFormat="1" customHeight="1" ht="21">
      <c r="A30" s="1328" t="s">
        <v>1225</v>
      </c>
      <c r="B30" s="944"/>
      <c r="C30" s="929"/>
      <c r="D30" s="929"/>
      <c r="E30" s="943" t="s">
        <v>22</v>
      </c>
      <c r="F30" s="1125"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0" s="1207"/>
      <c r="H30" s="1208"/>
      <c r="I30" s="1208"/>
      <c r="J30" s="1208"/>
      <c r="K30" s="1208"/>
      <c r="L30" s="1208"/>
      <c r="M30" s="1208"/>
      <c r="N30" s="1208"/>
      <c r="O30" s="1207"/>
      <c r="P30" s="1207"/>
      <c r="Q30" s="1207"/>
      <c r="R30" s="1207"/>
      <c r="S30" s="1207"/>
      <c r="T30" s="1207"/>
      <c r="U30" s="1209"/>
      <c r="V30" s="1209"/>
      <c r="W30" s="1209"/>
      <c r="X30" s="1209"/>
      <c r="Y30" s="1209"/>
      <c r="Z30" s="1209"/>
      <c r="AA30" s="1209"/>
      <c r="AB30" s="1207"/>
      <c r="AC30" s="1208"/>
      <c r="AD30" s="1208"/>
      <c r="AE30" s="1208"/>
      <c r="AF30" s="1208"/>
      <c r="AG30" s="1208"/>
      <c r="AH30" s="1208"/>
      <c r="AI30" s="1208"/>
      <c r="AJ30" s="1208"/>
      <c r="AK30" s="1208"/>
      <c r="AL30" s="1208"/>
      <c r="AM30" s="1208"/>
      <c r="AN30" s="1208"/>
      <c r="AO30" s="1208"/>
      <c r="AP30" s="1208"/>
      <c r="AQ30" s="1208"/>
      <c r="AR30" s="1208"/>
      <c r="AS30" s="1208"/>
      <c r="AT30" s="1208"/>
      <c r="AU30" s="1208"/>
      <c r="AV30" s="1208"/>
      <c r="AW30" s="1208"/>
      <c r="AX30" s="1208"/>
      <c r="AY30" s="1208"/>
      <c r="AZ30" s="1208"/>
      <c r="BA30" s="1208"/>
      <c r="BB30" s="1208"/>
      <c r="BC30" s="1208"/>
      <c r="BD30" s="1208"/>
      <c r="BE30" s="1208"/>
      <c r="BF30" s="1208"/>
      <c r="BG30" s="1208"/>
      <c r="BH30" s="1208"/>
      <c r="BI30" s="1208"/>
      <c r="BJ30" s="1208"/>
      <c r="BK30" s="1208"/>
      <c r="BL30" s="1208"/>
      <c r="BM30" s="1208"/>
      <c r="BN30" s="1208"/>
      <c r="BO30" s="1208"/>
      <c r="BP30" s="1208"/>
      <c r="BQ30" s="1208"/>
      <c r="BR30" s="1208"/>
      <c r="BS30" s="1208"/>
      <c r="BT30" s="1208"/>
      <c r="BU30" s="1208"/>
      <c r="BV30" s="1208"/>
      <c r="BW30" s="1208"/>
      <c r="BX30" s="1208"/>
      <c r="BY30" s="1208"/>
      <c r="BZ30" s="1208"/>
      <c r="CA30" s="1208"/>
      <c r="CB30" s="1208"/>
      <c r="CC30" s="1208"/>
      <c r="CD30" s="1208"/>
      <c r="CE30" s="1208"/>
      <c r="CF30" s="1208"/>
      <c r="CG30" s="1208"/>
      <c r="CH30" s="1208"/>
      <c r="CI30" s="1208"/>
      <c r="CJ30" s="1208"/>
      <c r="CK30" s="1208"/>
      <c r="CL30" s="1210"/>
      <c r="CM30" s="1210"/>
      <c r="CN30" s="1210"/>
      <c r="CO30" s="1210"/>
      <c r="CP30" s="1210"/>
      <c r="CQ30" s="1210"/>
      <c r="CR30" s="1210"/>
      <c r="CS30" s="1210"/>
      <c r="CT30" s="1210"/>
      <c r="CU30" s="1210"/>
      <c r="CV30" s="1210"/>
      <c r="CW30" s="1210"/>
      <c r="CX30" s="1210"/>
      <c r="CY30" s="1210"/>
      <c r="CZ30" s="1210"/>
      <c r="DA30" s="1210"/>
      <c r="DB30" s="1210"/>
      <c r="DC30" s="1210"/>
      <c r="DD30" s="1210"/>
      <c r="DE30" s="1210"/>
      <c r="DF30" s="1210"/>
      <c r="DG30" s="1210"/>
      <c r="DH30" s="1210"/>
      <c r="DI30" s="1210"/>
      <c r="DJ30" s="1210"/>
      <c r="DK30" s="1210"/>
      <c r="DL30" s="1210"/>
      <c r="DM30" s="1210"/>
      <c r="DN30" s="1210"/>
      <c r="DO30" s="1210"/>
      <c r="DP30" s="1210"/>
      <c r="DQ30" s="1210"/>
      <c r="DR30" s="1210"/>
      <c r="DS30" s="1210"/>
      <c r="DT30" s="1210"/>
      <c r="DU30" s="1210"/>
      <c r="DV30" s="1210"/>
      <c r="DW30" s="1210"/>
      <c r="DX30" s="1210"/>
      <c r="DY30" s="1210"/>
      <c r="DZ30" s="1210"/>
      <c r="EA30" s="1210"/>
      <c r="EB30" s="1210"/>
      <c r="EC30" s="1210"/>
      <c r="ED30" s="1210"/>
      <c r="EE30" s="1210"/>
      <c r="EF30" s="1210"/>
      <c r="EG30" s="1210"/>
      <c r="EH30" s="1210"/>
      <c r="EI30" s="1210"/>
      <c r="EJ30" s="1210"/>
      <c r="EK30" s="1210"/>
      <c r="EL30" s="1210"/>
      <c r="EM30" s="1210"/>
      <c r="EN30" s="1210"/>
      <c r="EO30" s="1210"/>
      <c r="EP30" s="1210"/>
      <c r="EQ30" s="1210"/>
      <c r="ER30" s="1210"/>
      <c r="ES30" s="1210"/>
      <c r="ET30" s="1210"/>
      <c r="EU30" s="1210"/>
      <c r="EV30" s="1210"/>
      <c r="EW30" s="1210"/>
      <c r="EX30" s="1210"/>
      <c r="EY30" s="1210"/>
      <c r="EZ30" s="1210"/>
      <c r="FA30" s="1210"/>
      <c r="FB30" s="1210"/>
      <c r="FC30" s="1210"/>
      <c r="FD30" s="1210"/>
      <c r="FE30" s="1210"/>
      <c r="FF30" s="1210"/>
      <c r="FG30" s="1210"/>
      <c r="FH30" s="1210"/>
      <c r="FI30" s="1210"/>
      <c r="FJ30" s="1210"/>
      <c r="FK30" s="1210"/>
      <c r="FL30" s="1210"/>
      <c r="FM30" s="1210"/>
      <c r="FN30" s="1210"/>
      <c r="FO30" s="1210"/>
      <c r="FP30" s="1210"/>
      <c r="FQ30" s="1210"/>
      <c r="FR30" s="1210"/>
      <c r="FS30" s="1210"/>
      <c r="FT30" s="1210"/>
      <c r="FU30" s="1210"/>
      <c r="FV30" s="1211"/>
      <c r="FW30" s="1205"/>
      <c r="FX30" s="1206"/>
      <c r="FY30" s="929"/>
      <c r="FZ30" s="929"/>
      <c r="GA30" s="929"/>
      <c r="GB30" s="929"/>
    </row>
    <row s="929" customFormat="1" customHeight="1" ht="24.75">
      <c r="A31" s="929" t="s">
        <v>1225</v>
      </c>
      <c r="B31" s="944"/>
      <c r="C31" s="929"/>
      <c r="D31" s="929"/>
      <c r="E31" s="1851"/>
      <c r="F31" s="2406">
        <v>1</v>
      </c>
      <c r="G31" s="2579" t="s">
        <v>1186</v>
      </c>
      <c r="H31" s="1214" t="s">
        <v>1445</v>
      </c>
      <c r="I31" s="1983" t="s">
        <v>1446</v>
      </c>
      <c r="J31" s="1215"/>
      <c r="K31" s="1215"/>
      <c r="L31" s="1215"/>
      <c r="M31" s="1215"/>
      <c r="N31" s="1215"/>
      <c r="O31" s="1216"/>
      <c r="P31" s="1216"/>
      <c r="Q31" s="1216"/>
      <c r="R31" s="1216"/>
      <c r="S31" s="1216"/>
      <c r="T31" s="1216"/>
      <c r="U31" s="1216"/>
      <c r="V31" s="1216"/>
      <c r="W31" s="1216"/>
      <c r="X31" s="1216"/>
      <c r="Y31" s="1216"/>
      <c r="Z31" s="1216"/>
      <c r="AA31" s="1216"/>
      <c r="AB31" s="1216"/>
      <c r="AC31" s="1215"/>
      <c r="AD31" s="1215"/>
      <c r="AE31" s="1215"/>
      <c r="AF31" s="1215"/>
      <c r="AG31" s="1215"/>
      <c r="AH31" s="1215"/>
      <c r="AI31" s="1215"/>
      <c r="AJ31" s="1215"/>
      <c r="AK31" s="1215"/>
      <c r="AL31" s="1215"/>
      <c r="AM31" s="1215"/>
      <c r="AN31" s="1215"/>
      <c r="AO31" s="1215"/>
      <c r="AP31" s="1215"/>
      <c r="AQ31" s="1215"/>
      <c r="AR31" s="1215"/>
      <c r="AS31" s="1215"/>
      <c r="AT31" s="1215"/>
      <c r="AU31" s="1215"/>
      <c r="AV31" s="1215"/>
      <c r="AW31" s="1215"/>
      <c r="AX31" s="1215"/>
      <c r="AY31" s="1215"/>
      <c r="AZ31" s="1215"/>
      <c r="BA31" s="1215"/>
      <c r="BB31" s="1215"/>
      <c r="BC31" s="1215"/>
      <c r="BD31" s="1215"/>
      <c r="BE31" s="1215"/>
      <c r="BF31" s="1215"/>
      <c r="BG31" s="1215"/>
      <c r="BH31" s="1215"/>
      <c r="BI31" s="1215"/>
      <c r="BJ31" s="1215"/>
      <c r="BK31" s="1215"/>
      <c r="BL31" s="1215"/>
      <c r="BM31" s="1215"/>
      <c r="BN31" s="1215"/>
      <c r="BO31" s="1215"/>
      <c r="BP31" s="1215"/>
      <c r="BQ31" s="1215"/>
      <c r="BR31" s="1215"/>
      <c r="BS31" s="1215"/>
      <c r="BT31" s="1216">
        <v>0</v>
      </c>
      <c r="BU31" s="1216">
        <v>0</v>
      </c>
      <c r="BV31" s="1216">
        <v>0</v>
      </c>
      <c r="BW31" s="1216">
        <v>0</v>
      </c>
      <c r="BX31" s="1216">
        <v>30.9</v>
      </c>
      <c r="BY31" s="1216">
        <v>30.21</v>
      </c>
      <c r="BZ31" s="1216">
        <v>0</v>
      </c>
      <c r="CA31" s="1216">
        <v>0</v>
      </c>
      <c r="CB31" s="1216">
        <v>0</v>
      </c>
      <c r="CC31" s="1216">
        <v>0</v>
      </c>
      <c r="CD31" s="1216"/>
      <c r="CE31" s="1216"/>
      <c r="CF31" s="1216"/>
      <c r="CG31" s="1216"/>
      <c r="CH31" s="1216"/>
      <c r="CI31" s="1216"/>
      <c r="CJ31" s="1216"/>
      <c r="CK31" s="1216"/>
      <c r="CL31" s="1215"/>
      <c r="CM31" s="1215"/>
      <c r="CN31" s="1215"/>
      <c r="CO31" s="1215"/>
      <c r="CP31" s="1215"/>
      <c r="CQ31" s="1215"/>
      <c r="CR31" s="1215"/>
      <c r="CS31" s="1215"/>
      <c r="CT31" s="1215"/>
      <c r="CU31" s="1215"/>
      <c r="CV31" s="1215"/>
      <c r="CW31" s="1215"/>
      <c r="CX31" s="1215"/>
      <c r="CY31" s="1216"/>
      <c r="CZ31" s="1216"/>
      <c r="DA31" s="1216"/>
      <c r="DB31" s="1216"/>
      <c r="DC31" s="1216"/>
      <c r="DD31" s="1216"/>
      <c r="DE31" s="1216"/>
      <c r="DF31" s="1216"/>
      <c r="DG31" s="1216"/>
      <c r="DH31" s="1216"/>
      <c r="DI31" s="1216"/>
      <c r="DJ31" s="1216"/>
      <c r="DK31" s="1215"/>
      <c r="DL31" s="1215"/>
      <c r="DM31" s="1215"/>
      <c r="DN31" s="1215"/>
      <c r="DO31" s="1215"/>
      <c r="DP31" s="1215"/>
      <c r="DQ31" s="1215"/>
      <c r="DR31" s="1215"/>
      <c r="DS31" s="1215"/>
      <c r="DT31" s="1215"/>
      <c r="DU31" s="1215"/>
      <c r="DV31" s="1215"/>
      <c r="DW31" s="1215"/>
      <c r="DX31" s="1215"/>
      <c r="DY31" s="1215"/>
      <c r="DZ31" s="1215"/>
      <c r="EA31" s="1215"/>
      <c r="EB31" s="1215"/>
      <c r="EC31" s="1215"/>
      <c r="ED31" s="1215"/>
      <c r="EE31" s="1215"/>
      <c r="EF31" s="1215"/>
      <c r="EG31" s="1215"/>
      <c r="EH31" s="1215"/>
      <c r="EI31" s="1215"/>
      <c r="EJ31" s="1215"/>
      <c r="EK31" s="1215"/>
      <c r="EL31" s="1215"/>
      <c r="EM31" s="1215"/>
      <c r="EN31" s="1215"/>
      <c r="EO31" s="1215"/>
      <c r="EP31" s="1215"/>
      <c r="EQ31" s="1215"/>
      <c r="ER31" s="1215"/>
      <c r="ES31" s="1215"/>
      <c r="ET31" s="1215"/>
      <c r="EU31" s="1215"/>
      <c r="EV31" s="1215"/>
      <c r="EW31" s="1215"/>
      <c r="EX31" s="1215"/>
      <c r="EY31" s="1215"/>
      <c r="EZ31" s="1215"/>
      <c r="FA31" s="1215"/>
      <c r="FB31" s="1215"/>
      <c r="FC31" s="1215"/>
      <c r="FD31" s="1215"/>
      <c r="FE31" s="1215"/>
      <c r="FF31" s="1215"/>
      <c r="FG31" s="1215"/>
      <c r="FH31" s="1215"/>
      <c r="FI31" s="1215"/>
      <c r="FJ31" s="1215"/>
      <c r="FK31" s="1215"/>
      <c r="FL31" s="1215"/>
      <c r="FM31" s="1215"/>
      <c r="FN31" s="1215"/>
      <c r="FO31" s="1215"/>
      <c r="FP31" s="1215"/>
      <c r="FQ31" s="1215"/>
      <c r="FR31" s="1215"/>
      <c r="FS31" s="1215"/>
      <c r="FT31" s="1215"/>
      <c r="FU31" s="1215"/>
      <c r="FV31" s="1215"/>
      <c r="FW31" s="1215"/>
      <c r="FX31" s="1206"/>
      <c r="FY31" s="929"/>
      <c r="FZ31" s="929"/>
      <c r="GA31" s="929"/>
      <c r="GB31" s="929"/>
    </row>
    <row s="929" customFormat="1" customHeight="1" ht="12">
      <c r="A32" s="929" t="s">
        <v>1225</v>
      </c>
      <c r="B32" s="944"/>
      <c r="C32" s="929"/>
      <c r="D32" s="929"/>
      <c r="E32" s="929"/>
      <c r="F32" s="3876"/>
      <c r="G32" s="3877" t="s">
        <v>1447</v>
      </c>
      <c r="H32" s="3878"/>
      <c r="I32" s="3879"/>
      <c r="J32" s="3880"/>
      <c r="K32" s="3881"/>
      <c r="L32" s="3882"/>
      <c r="M32" s="3883"/>
      <c r="N32" s="3884"/>
      <c r="O32" s="3885"/>
      <c r="P32" s="3886"/>
      <c r="Q32" s="3887"/>
      <c r="R32" s="3888"/>
      <c r="S32" s="3889"/>
      <c r="T32" s="3890"/>
      <c r="U32" s="3891"/>
      <c r="V32" s="3892"/>
      <c r="W32" s="3893"/>
      <c r="X32" s="3894"/>
      <c r="Y32" s="3895"/>
      <c r="Z32" s="3896"/>
      <c r="AA32" s="3897"/>
      <c r="AB32" s="3898"/>
      <c r="AC32" s="3899"/>
      <c r="AD32" s="3900"/>
      <c r="AE32" s="3901"/>
      <c r="AF32" s="3902"/>
      <c r="AG32" s="3903"/>
      <c r="AH32" s="3904"/>
      <c r="AI32" s="3905"/>
      <c r="AJ32" s="3906"/>
      <c r="AK32" s="3907"/>
      <c r="AL32" s="3908"/>
      <c r="AM32" s="3909"/>
      <c r="AN32" s="3910"/>
      <c r="AO32" s="3911"/>
      <c r="AP32" s="3912"/>
      <c r="AQ32" s="3913"/>
      <c r="AR32" s="3914"/>
      <c r="AS32" s="3915"/>
      <c r="AT32" s="3916"/>
      <c r="AU32" s="3917"/>
      <c r="AV32" s="3918"/>
      <c r="AW32" s="3919"/>
      <c r="AX32" s="3920"/>
      <c r="AY32" s="3921"/>
      <c r="AZ32" s="3922"/>
      <c r="BA32" s="3923"/>
      <c r="BB32" s="3924"/>
      <c r="BC32" s="3925"/>
      <c r="BD32" s="3926"/>
      <c r="BE32" s="3927"/>
      <c r="BF32" s="3928"/>
      <c r="BG32" s="3929"/>
      <c r="BH32" s="3930"/>
      <c r="BI32" s="3931"/>
      <c r="BJ32" s="3932"/>
      <c r="BK32" s="3933"/>
      <c r="BL32" s="3934"/>
      <c r="BM32" s="3935"/>
      <c r="BN32" s="3936"/>
      <c r="BO32" s="3937"/>
      <c r="BP32" s="3938"/>
      <c r="BQ32" s="3939"/>
      <c r="BR32" s="3940"/>
      <c r="BS32" s="3941"/>
      <c r="BT32" s="3942"/>
      <c r="BU32" s="3943"/>
      <c r="BV32" s="3944"/>
      <c r="BW32" s="3945"/>
      <c r="BX32" s="3946"/>
      <c r="BY32" s="3947"/>
      <c r="BZ32" s="3948"/>
      <c r="CA32" s="3949"/>
      <c r="CB32" s="3950"/>
      <c r="CC32" s="3951"/>
      <c r="CD32" s="3952"/>
      <c r="CE32" s="3953"/>
      <c r="CF32" s="3954"/>
      <c r="CG32" s="3955"/>
      <c r="CH32" s="3956"/>
      <c r="CI32" s="3957"/>
      <c r="CJ32" s="3958"/>
      <c r="CK32" s="3959"/>
      <c r="CL32" s="3960"/>
      <c r="CM32" s="3961"/>
      <c r="CN32" s="3962"/>
      <c r="CO32" s="3963"/>
      <c r="CP32" s="3964"/>
      <c r="CQ32" s="3965"/>
      <c r="CR32" s="3966"/>
      <c r="CS32" s="3967"/>
      <c r="CT32" s="3968"/>
      <c r="CU32" s="3969"/>
      <c r="CV32" s="3970"/>
      <c r="CW32" s="3971"/>
      <c r="CX32" s="3972"/>
      <c r="CY32" s="3973"/>
      <c r="CZ32" s="3974"/>
      <c r="DA32" s="3975"/>
      <c r="DB32" s="3976"/>
      <c r="DC32" s="3977"/>
      <c r="DD32" s="3978"/>
      <c r="DE32" s="3979"/>
      <c r="DF32" s="3980"/>
      <c r="DG32" s="3981"/>
      <c r="DH32" s="3982"/>
      <c r="DI32" s="3983"/>
      <c r="DJ32" s="3984"/>
      <c r="DK32" s="3985"/>
      <c r="DL32" s="3986"/>
      <c r="DM32" s="3987"/>
      <c r="DN32" s="3988"/>
      <c r="DO32" s="3989"/>
      <c r="DP32" s="3990"/>
      <c r="DQ32" s="3991"/>
      <c r="DR32" s="3992"/>
      <c r="DS32" s="3993"/>
      <c r="DT32" s="3994"/>
      <c r="DU32" s="3995"/>
      <c r="DV32" s="3996"/>
      <c r="DW32" s="3997"/>
      <c r="DX32" s="3998"/>
      <c r="DY32" s="3999"/>
      <c r="DZ32" s="4000"/>
      <c r="EA32" s="4001"/>
      <c r="EB32" s="4002"/>
      <c r="EC32" s="4003"/>
      <c r="ED32" s="4004"/>
      <c r="EE32" s="4005"/>
      <c r="EF32" s="4006"/>
      <c r="EG32" s="4007"/>
      <c r="EH32" s="4008"/>
      <c r="EI32" s="4009"/>
      <c r="EJ32" s="4010"/>
      <c r="EK32" s="4011"/>
      <c r="EL32" s="4012"/>
      <c r="EM32" s="4013"/>
      <c r="EN32" s="4014"/>
      <c r="EO32" s="4015"/>
      <c r="EP32" s="4016"/>
      <c r="EQ32" s="4017"/>
      <c r="ER32" s="4018"/>
      <c r="ES32" s="4019"/>
      <c r="ET32" s="4020"/>
      <c r="EU32" s="4021"/>
      <c r="EV32" s="4022"/>
      <c r="EW32" s="4023"/>
      <c r="EX32" s="4024"/>
      <c r="EY32" s="4025"/>
      <c r="EZ32" s="4026"/>
      <c r="FA32" s="4027"/>
      <c r="FB32" s="4028"/>
      <c r="FC32" s="4029"/>
      <c r="FD32" s="4030"/>
      <c r="FE32" s="4031"/>
      <c r="FF32" s="4032"/>
      <c r="FG32" s="4033"/>
      <c r="FH32" s="4034"/>
      <c r="FI32" s="4035"/>
      <c r="FJ32" s="4036"/>
      <c r="FK32" s="4037"/>
      <c r="FL32" s="4038"/>
      <c r="FM32" s="4039"/>
      <c r="FN32" s="4040"/>
      <c r="FO32" s="4041"/>
      <c r="FP32" s="4042"/>
      <c r="FQ32" s="4043"/>
      <c r="FR32" s="4044"/>
      <c r="FS32" s="4045"/>
      <c r="FT32" s="4046"/>
      <c r="FU32" s="4047"/>
      <c r="FV32" s="4048"/>
      <c r="FW32" s="4049"/>
      <c r="FX32" s="1826"/>
      <c r="FY32" s="1066"/>
      <c r="FZ32" s="1066"/>
      <c r="GA32" s="1066"/>
      <c r="GB32" s="1066"/>
    </row>
    <row s="929" customFormat="1" customHeight="1" ht="21">
      <c r="A33" s="1328" t="s">
        <v>1232</v>
      </c>
      <c r="B33" s="944"/>
      <c r="C33" s="929"/>
      <c r="D33" s="929"/>
      <c r="E33" s="943" t="s">
        <v>22</v>
      </c>
      <c r="F33" s="1125"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 (01.01.2021-31.12.2028)</v>
      </c>
      <c r="G33" s="1207"/>
      <c r="H33" s="1208"/>
      <c r="I33" s="1208"/>
      <c r="J33" s="1208"/>
      <c r="K33" s="1208"/>
      <c r="L33" s="1208"/>
      <c r="M33" s="1208"/>
      <c r="N33" s="1208"/>
      <c r="O33" s="1207"/>
      <c r="P33" s="1207"/>
      <c r="Q33" s="1207"/>
      <c r="R33" s="1207"/>
      <c r="S33" s="1207"/>
      <c r="T33" s="1207"/>
      <c r="U33" s="1209"/>
      <c r="V33" s="1209"/>
      <c r="W33" s="1209"/>
      <c r="X33" s="1209"/>
      <c r="Y33" s="1209"/>
      <c r="Z33" s="1209"/>
      <c r="AA33" s="1209"/>
      <c r="AB33" s="1207"/>
      <c r="AC33" s="1208"/>
      <c r="AD33" s="1208"/>
      <c r="AE33" s="1208"/>
      <c r="AF33" s="1208"/>
      <c r="AG33" s="1208"/>
      <c r="AH33" s="1208"/>
      <c r="AI33" s="1208"/>
      <c r="AJ33" s="1208"/>
      <c r="AK33" s="1208"/>
      <c r="AL33" s="1208"/>
      <c r="AM33" s="1208"/>
      <c r="AN33" s="1208"/>
      <c r="AO33" s="1208"/>
      <c r="AP33" s="1208"/>
      <c r="AQ33" s="1208"/>
      <c r="AR33" s="1208"/>
      <c r="AS33" s="1208"/>
      <c r="AT33" s="1208"/>
      <c r="AU33" s="1208"/>
      <c r="AV33" s="1208"/>
      <c r="AW33" s="1208"/>
      <c r="AX33" s="1208"/>
      <c r="AY33" s="1208"/>
      <c r="AZ33" s="1208"/>
      <c r="BA33" s="1208"/>
      <c r="BB33" s="1208"/>
      <c r="BC33" s="1208"/>
      <c r="BD33" s="1208"/>
      <c r="BE33" s="1208"/>
      <c r="BF33" s="1208"/>
      <c r="BG33" s="1208"/>
      <c r="BH33" s="1208"/>
      <c r="BI33" s="1208"/>
      <c r="BJ33" s="1208"/>
      <c r="BK33" s="1208"/>
      <c r="BL33" s="1208"/>
      <c r="BM33" s="1208"/>
      <c r="BN33" s="1208"/>
      <c r="BO33" s="1208"/>
      <c r="BP33" s="1208"/>
      <c r="BQ33" s="1208"/>
      <c r="BR33" s="1208"/>
      <c r="BS33" s="1208"/>
      <c r="BT33" s="1208"/>
      <c r="BU33" s="1208"/>
      <c r="BV33" s="1208"/>
      <c r="BW33" s="1208"/>
      <c r="BX33" s="1208"/>
      <c r="BY33" s="1208"/>
      <c r="BZ33" s="1208"/>
      <c r="CA33" s="1208"/>
      <c r="CB33" s="1208"/>
      <c r="CC33" s="1208"/>
      <c r="CD33" s="1208"/>
      <c r="CE33" s="1208"/>
      <c r="CF33" s="1208"/>
      <c r="CG33" s="1208"/>
      <c r="CH33" s="1208"/>
      <c r="CI33" s="1208"/>
      <c r="CJ33" s="1208"/>
      <c r="CK33" s="1208"/>
      <c r="CL33" s="1210"/>
      <c r="CM33" s="1210"/>
      <c r="CN33" s="1210"/>
      <c r="CO33" s="1210"/>
      <c r="CP33" s="1210"/>
      <c r="CQ33" s="1210"/>
      <c r="CR33" s="1210"/>
      <c r="CS33" s="1210"/>
      <c r="CT33" s="1210"/>
      <c r="CU33" s="1210"/>
      <c r="CV33" s="1210"/>
      <c r="CW33" s="1210"/>
      <c r="CX33" s="1210"/>
      <c r="CY33" s="1210"/>
      <c r="CZ33" s="1210"/>
      <c r="DA33" s="1210"/>
      <c r="DB33" s="1210"/>
      <c r="DC33" s="1210"/>
      <c r="DD33" s="1210"/>
      <c r="DE33" s="1210"/>
      <c r="DF33" s="1210"/>
      <c r="DG33" s="1210"/>
      <c r="DH33" s="1210"/>
      <c r="DI33" s="1210"/>
      <c r="DJ33" s="1210"/>
      <c r="DK33" s="1210"/>
      <c r="DL33" s="1210"/>
      <c r="DM33" s="1210"/>
      <c r="DN33" s="1210"/>
      <c r="DO33" s="1210"/>
      <c r="DP33" s="1210"/>
      <c r="DQ33" s="1210"/>
      <c r="DR33" s="1210"/>
      <c r="DS33" s="1210"/>
      <c r="DT33" s="1210"/>
      <c r="DU33" s="1210"/>
      <c r="DV33" s="1210"/>
      <c r="DW33" s="1210"/>
      <c r="DX33" s="1210"/>
      <c r="DY33" s="1210"/>
      <c r="DZ33" s="1210"/>
      <c r="EA33" s="1210"/>
      <c r="EB33" s="1210"/>
      <c r="EC33" s="1210"/>
      <c r="ED33" s="1210"/>
      <c r="EE33" s="1210"/>
      <c r="EF33" s="1210"/>
      <c r="EG33" s="1210"/>
      <c r="EH33" s="1210"/>
      <c r="EI33" s="1210"/>
      <c r="EJ33" s="1210"/>
      <c r="EK33" s="1210"/>
      <c r="EL33" s="1210"/>
      <c r="EM33" s="1210"/>
      <c r="EN33" s="1210"/>
      <c r="EO33" s="1210"/>
      <c r="EP33" s="1210"/>
      <c r="EQ33" s="1210"/>
      <c r="ER33" s="1210"/>
      <c r="ES33" s="1210"/>
      <c r="ET33" s="1210"/>
      <c r="EU33" s="1210"/>
      <c r="EV33" s="1210"/>
      <c r="EW33" s="1210"/>
      <c r="EX33" s="1210"/>
      <c r="EY33" s="1210"/>
      <c r="EZ33" s="1210"/>
      <c r="FA33" s="1210"/>
      <c r="FB33" s="1210"/>
      <c r="FC33" s="1210"/>
      <c r="FD33" s="1210"/>
      <c r="FE33" s="1210"/>
      <c r="FF33" s="1210"/>
      <c r="FG33" s="1210"/>
      <c r="FH33" s="1210"/>
      <c r="FI33" s="1210"/>
      <c r="FJ33" s="1210"/>
      <c r="FK33" s="1210"/>
      <c r="FL33" s="1210"/>
      <c r="FM33" s="1210"/>
      <c r="FN33" s="1210"/>
      <c r="FO33" s="1210"/>
      <c r="FP33" s="1210"/>
      <c r="FQ33" s="1210"/>
      <c r="FR33" s="1210"/>
      <c r="FS33" s="1210"/>
      <c r="FT33" s="1210"/>
      <c r="FU33" s="1210"/>
      <c r="FV33" s="1211"/>
      <c r="FW33" s="1205"/>
      <c r="FX33" s="1206"/>
      <c r="FY33" s="929"/>
      <c r="FZ33" s="929"/>
      <c r="GA33" s="929"/>
      <c r="GB33" s="929"/>
    </row>
    <row s="929" customFormat="1" customHeight="1" ht="24.75">
      <c r="A34" s="929" t="s">
        <v>1232</v>
      </c>
      <c r="B34" s="944"/>
      <c r="C34" s="929"/>
      <c r="D34" s="929"/>
      <c r="E34" s="1851"/>
      <c r="F34" s="2406">
        <v>1</v>
      </c>
      <c r="G34" s="2579" t="s">
        <v>1186</v>
      </c>
      <c r="H34" s="1214" t="s">
        <v>1445</v>
      </c>
      <c r="I34" s="1983" t="s">
        <v>1446</v>
      </c>
      <c r="J34" s="1215"/>
      <c r="K34" s="1215"/>
      <c r="L34" s="1215"/>
      <c r="M34" s="1215"/>
      <c r="N34" s="1215"/>
      <c r="O34" s="1216"/>
      <c r="P34" s="1216"/>
      <c r="Q34" s="1216"/>
      <c r="R34" s="1216"/>
      <c r="S34" s="1216"/>
      <c r="T34" s="1216"/>
      <c r="U34" s="1216"/>
      <c r="V34" s="1216"/>
      <c r="W34" s="1216"/>
      <c r="X34" s="1216"/>
      <c r="Y34" s="1216"/>
      <c r="Z34" s="1216"/>
      <c r="AA34" s="1216"/>
      <c r="AB34" s="1216"/>
      <c r="AC34" s="1215"/>
      <c r="AD34" s="1215"/>
      <c r="AE34" s="1215"/>
      <c r="AF34" s="1215"/>
      <c r="AG34" s="1215"/>
      <c r="AH34" s="1215"/>
      <c r="AI34" s="1215"/>
      <c r="AJ34" s="1215"/>
      <c r="AK34" s="1215"/>
      <c r="AL34" s="1215"/>
      <c r="AM34" s="1215"/>
      <c r="AN34" s="1215"/>
      <c r="AO34" s="1215"/>
      <c r="AP34" s="1215"/>
      <c r="AQ34" s="1215"/>
      <c r="AR34" s="1215"/>
      <c r="AS34" s="1215"/>
      <c r="AT34" s="1215"/>
      <c r="AU34" s="1215"/>
      <c r="AV34" s="1215"/>
      <c r="AW34" s="1215"/>
      <c r="AX34" s="1215"/>
      <c r="AY34" s="1215"/>
      <c r="AZ34" s="1215"/>
      <c r="BA34" s="1215"/>
      <c r="BB34" s="1215"/>
      <c r="BC34" s="1215"/>
      <c r="BD34" s="1215"/>
      <c r="BE34" s="1215"/>
      <c r="BF34" s="1215"/>
      <c r="BG34" s="1215"/>
      <c r="BH34" s="1215"/>
      <c r="BI34" s="1215"/>
      <c r="BJ34" s="1215"/>
      <c r="BK34" s="1215"/>
      <c r="BL34" s="1215"/>
      <c r="BM34" s="1215"/>
      <c r="BN34" s="1215"/>
      <c r="BO34" s="1215"/>
      <c r="BP34" s="1215"/>
      <c r="BQ34" s="1215"/>
      <c r="BR34" s="1215"/>
      <c r="BS34" s="1215"/>
      <c r="BT34" s="1216">
        <v>0</v>
      </c>
      <c r="BU34" s="1216">
        <v>0</v>
      </c>
      <c r="BV34" s="1216">
        <v>0</v>
      </c>
      <c r="BW34" s="1216">
        <v>0</v>
      </c>
      <c r="BX34" s="1216">
        <v>68.7</v>
      </c>
      <c r="BY34" s="1216">
        <v>70.39</v>
      </c>
      <c r="BZ34" s="1216">
        <v>0.6</v>
      </c>
      <c r="CA34" s="1216">
        <v>1</v>
      </c>
      <c r="CB34" s="1216">
        <v>0</v>
      </c>
      <c r="CC34" s="1216">
        <v>0</v>
      </c>
      <c r="CD34" s="1216"/>
      <c r="CE34" s="1216"/>
      <c r="CF34" s="1216"/>
      <c r="CG34" s="1216"/>
      <c r="CH34" s="1216"/>
      <c r="CI34" s="1216"/>
      <c r="CJ34" s="1216"/>
      <c r="CK34" s="1216"/>
      <c r="CL34" s="1215"/>
      <c r="CM34" s="1215"/>
      <c r="CN34" s="1215"/>
      <c r="CO34" s="1215"/>
      <c r="CP34" s="1215"/>
      <c r="CQ34" s="1215"/>
      <c r="CR34" s="1215"/>
      <c r="CS34" s="1215"/>
      <c r="CT34" s="1215"/>
      <c r="CU34" s="1215"/>
      <c r="CV34" s="1215"/>
      <c r="CW34" s="1215"/>
      <c r="CX34" s="1215"/>
      <c r="CY34" s="1216"/>
      <c r="CZ34" s="1216"/>
      <c r="DA34" s="1216"/>
      <c r="DB34" s="1216"/>
      <c r="DC34" s="1216"/>
      <c r="DD34" s="1216"/>
      <c r="DE34" s="1216"/>
      <c r="DF34" s="1216"/>
      <c r="DG34" s="1216"/>
      <c r="DH34" s="1216"/>
      <c r="DI34" s="1216"/>
      <c r="DJ34" s="1216"/>
      <c r="DK34" s="1215"/>
      <c r="DL34" s="1215"/>
      <c r="DM34" s="1215"/>
      <c r="DN34" s="1215"/>
      <c r="DO34" s="1215"/>
      <c r="DP34" s="1215"/>
      <c r="DQ34" s="1215"/>
      <c r="DR34" s="1215"/>
      <c r="DS34" s="1215"/>
      <c r="DT34" s="1215"/>
      <c r="DU34" s="1215"/>
      <c r="DV34" s="1215"/>
      <c r="DW34" s="1215"/>
      <c r="DX34" s="1215"/>
      <c r="DY34" s="1215"/>
      <c r="DZ34" s="1215"/>
      <c r="EA34" s="1215"/>
      <c r="EB34" s="1215"/>
      <c r="EC34" s="1215"/>
      <c r="ED34" s="1215"/>
      <c r="EE34" s="1215"/>
      <c r="EF34" s="1215"/>
      <c r="EG34" s="1215"/>
      <c r="EH34" s="1215"/>
      <c r="EI34" s="1215"/>
      <c r="EJ34" s="1215"/>
      <c r="EK34" s="1215"/>
      <c r="EL34" s="1215"/>
      <c r="EM34" s="1215"/>
      <c r="EN34" s="1215"/>
      <c r="EO34" s="1215"/>
      <c r="EP34" s="1215"/>
      <c r="EQ34" s="1215"/>
      <c r="ER34" s="1215"/>
      <c r="ES34" s="1215"/>
      <c r="ET34" s="1215"/>
      <c r="EU34" s="1215"/>
      <c r="EV34" s="1215"/>
      <c r="EW34" s="1215"/>
      <c r="EX34" s="1215"/>
      <c r="EY34" s="1215"/>
      <c r="EZ34" s="1215"/>
      <c r="FA34" s="1215"/>
      <c r="FB34" s="1215"/>
      <c r="FC34" s="1215"/>
      <c r="FD34" s="1215"/>
      <c r="FE34" s="1215"/>
      <c r="FF34" s="1215"/>
      <c r="FG34" s="1215"/>
      <c r="FH34" s="1215"/>
      <c r="FI34" s="1215"/>
      <c r="FJ34" s="1215"/>
      <c r="FK34" s="1215"/>
      <c r="FL34" s="1215"/>
      <c r="FM34" s="1215"/>
      <c r="FN34" s="1215"/>
      <c r="FO34" s="1215"/>
      <c r="FP34" s="1215"/>
      <c r="FQ34" s="1215"/>
      <c r="FR34" s="1215"/>
      <c r="FS34" s="1215"/>
      <c r="FT34" s="1215"/>
      <c r="FU34" s="1215"/>
      <c r="FV34" s="1215"/>
      <c r="FW34" s="1215"/>
      <c r="FX34" s="1206"/>
      <c r="FY34" s="929"/>
      <c r="FZ34" s="929"/>
      <c r="GA34" s="929"/>
      <c r="GB34" s="929"/>
    </row>
    <row s="929" customFormat="1" customHeight="1" ht="12">
      <c r="A35" s="929" t="s">
        <v>1232</v>
      </c>
      <c r="B35" s="944"/>
      <c r="C35" s="929"/>
      <c r="D35" s="929"/>
      <c r="E35" s="929"/>
      <c r="F35" s="4050"/>
      <c r="G35" s="4051" t="s">
        <v>1447</v>
      </c>
      <c r="H35" s="4052"/>
      <c r="I35" s="4053"/>
      <c r="J35" s="4054"/>
      <c r="K35" s="4055"/>
      <c r="L35" s="4056"/>
      <c r="M35" s="4057"/>
      <c r="N35" s="4058"/>
      <c r="O35" s="4059"/>
      <c r="P35" s="4060"/>
      <c r="Q35" s="4061"/>
      <c r="R35" s="4062"/>
      <c r="S35" s="4063"/>
      <c r="T35" s="4064"/>
      <c r="U35" s="4065"/>
      <c r="V35" s="4066"/>
      <c r="W35" s="4067"/>
      <c r="X35" s="4068"/>
      <c r="Y35" s="4069"/>
      <c r="Z35" s="4070"/>
      <c r="AA35" s="4071"/>
      <c r="AB35" s="4072"/>
      <c r="AC35" s="4073"/>
      <c r="AD35" s="4074"/>
      <c r="AE35" s="4075"/>
      <c r="AF35" s="4076"/>
      <c r="AG35" s="4077"/>
      <c r="AH35" s="4078"/>
      <c r="AI35" s="4079"/>
      <c r="AJ35" s="4080"/>
      <c r="AK35" s="4081"/>
      <c r="AL35" s="4082"/>
      <c r="AM35" s="4083"/>
      <c r="AN35" s="4084"/>
      <c r="AO35" s="4085"/>
      <c r="AP35" s="4086"/>
      <c r="AQ35" s="4087"/>
      <c r="AR35" s="4088"/>
      <c r="AS35" s="4089"/>
      <c r="AT35" s="4090"/>
      <c r="AU35" s="4091"/>
      <c r="AV35" s="4092"/>
      <c r="AW35" s="4093"/>
      <c r="AX35" s="4094"/>
      <c r="AY35" s="4095"/>
      <c r="AZ35" s="4096"/>
      <c r="BA35" s="4097"/>
      <c r="BB35" s="4098"/>
      <c r="BC35" s="4099"/>
      <c r="BD35" s="4100"/>
      <c r="BE35" s="4101"/>
      <c r="BF35" s="4102"/>
      <c r="BG35" s="4103"/>
      <c r="BH35" s="4104"/>
      <c r="BI35" s="4105"/>
      <c r="BJ35" s="4106"/>
      <c r="BK35" s="4107"/>
      <c r="BL35" s="4108"/>
      <c r="BM35" s="4109"/>
      <c r="BN35" s="4110"/>
      <c r="BO35" s="4111"/>
      <c r="BP35" s="4112"/>
      <c r="BQ35" s="4113"/>
      <c r="BR35" s="4114"/>
      <c r="BS35" s="4115"/>
      <c r="BT35" s="4116"/>
      <c r="BU35" s="4117"/>
      <c r="BV35" s="4118"/>
      <c r="BW35" s="4119"/>
      <c r="BX35" s="4120"/>
      <c r="BY35" s="4121"/>
      <c r="BZ35" s="4122"/>
      <c r="CA35" s="4123"/>
      <c r="CB35" s="4124"/>
      <c r="CC35" s="4125"/>
      <c r="CD35" s="4126"/>
      <c r="CE35" s="4127"/>
      <c r="CF35" s="4128"/>
      <c r="CG35" s="4129"/>
      <c r="CH35" s="4130"/>
      <c r="CI35" s="4131"/>
      <c r="CJ35" s="4132"/>
      <c r="CK35" s="4133"/>
      <c r="CL35" s="4134"/>
      <c r="CM35" s="4135"/>
      <c r="CN35" s="4136"/>
      <c r="CO35" s="4137"/>
      <c r="CP35" s="4138"/>
      <c r="CQ35" s="4139"/>
      <c r="CR35" s="4140"/>
      <c r="CS35" s="4141"/>
      <c r="CT35" s="4142"/>
      <c r="CU35" s="4143"/>
      <c r="CV35" s="4144"/>
      <c r="CW35" s="4145"/>
      <c r="CX35" s="4146"/>
      <c r="CY35" s="4147"/>
      <c r="CZ35" s="4148"/>
      <c r="DA35" s="4149"/>
      <c r="DB35" s="4150"/>
      <c r="DC35" s="4151"/>
      <c r="DD35" s="4152"/>
      <c r="DE35" s="4153"/>
      <c r="DF35" s="4154"/>
      <c r="DG35" s="4155"/>
      <c r="DH35" s="4156"/>
      <c r="DI35" s="4157"/>
      <c r="DJ35" s="4158"/>
      <c r="DK35" s="4159"/>
      <c r="DL35" s="4160"/>
      <c r="DM35" s="4161"/>
      <c r="DN35" s="4162"/>
      <c r="DO35" s="4163"/>
      <c r="DP35" s="4164"/>
      <c r="DQ35" s="4165"/>
      <c r="DR35" s="4166"/>
      <c r="DS35" s="4167"/>
      <c r="DT35" s="4168"/>
      <c r="DU35" s="4169"/>
      <c r="DV35" s="4170"/>
      <c r="DW35" s="4171"/>
      <c r="DX35" s="4172"/>
      <c r="DY35" s="4173"/>
      <c r="DZ35" s="4174"/>
      <c r="EA35" s="4175"/>
      <c r="EB35" s="4176"/>
      <c r="EC35" s="4177"/>
      <c r="ED35" s="4178"/>
      <c r="EE35" s="4179"/>
      <c r="EF35" s="4180"/>
      <c r="EG35" s="4181"/>
      <c r="EH35" s="4182"/>
      <c r="EI35" s="4183"/>
      <c r="EJ35" s="4184"/>
      <c r="EK35" s="4185"/>
      <c r="EL35" s="4186"/>
      <c r="EM35" s="4187"/>
      <c r="EN35" s="4188"/>
      <c r="EO35" s="4189"/>
      <c r="EP35" s="4190"/>
      <c r="EQ35" s="4191"/>
      <c r="ER35" s="4192"/>
      <c r="ES35" s="4193"/>
      <c r="ET35" s="4194"/>
      <c r="EU35" s="4195"/>
      <c r="EV35" s="4196"/>
      <c r="EW35" s="4197"/>
      <c r="EX35" s="4198"/>
      <c r="EY35" s="4199"/>
      <c r="EZ35" s="4200"/>
      <c r="FA35" s="4201"/>
      <c r="FB35" s="4202"/>
      <c r="FC35" s="4203"/>
      <c r="FD35" s="4204"/>
      <c r="FE35" s="4205"/>
      <c r="FF35" s="4206"/>
      <c r="FG35" s="4207"/>
      <c r="FH35" s="4208"/>
      <c r="FI35" s="4209"/>
      <c r="FJ35" s="4210"/>
      <c r="FK35" s="4211"/>
      <c r="FL35" s="4212"/>
      <c r="FM35" s="4213"/>
      <c r="FN35" s="4214"/>
      <c r="FO35" s="4215"/>
      <c r="FP35" s="4216"/>
      <c r="FQ35" s="4217"/>
      <c r="FR35" s="4218"/>
      <c r="FS35" s="4219"/>
      <c r="FT35" s="4220"/>
      <c r="FU35" s="4221"/>
      <c r="FV35" s="4222"/>
      <c r="FW35" s="4223"/>
      <c r="FX35" s="1826"/>
      <c r="FY35" s="1066"/>
      <c r="FZ35" s="1066"/>
      <c r="GA35" s="1066"/>
      <c r="GB35" s="1066"/>
    </row>
    <row s="929" customFormat="1" customHeight="1" ht="21">
      <c r="A36" s="1328" t="s">
        <v>1239</v>
      </c>
      <c r="B36" s="944"/>
      <c r="C36" s="929"/>
      <c r="D36" s="929"/>
      <c r="E36" s="943" t="s">
        <v>22</v>
      </c>
      <c r="F36" s="1125"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 (01.01.2021-31.12.2028)</v>
      </c>
      <c r="G36" s="1207"/>
      <c r="H36" s="1208"/>
      <c r="I36" s="1208"/>
      <c r="J36" s="1208"/>
      <c r="K36" s="1208"/>
      <c r="L36" s="1208"/>
      <c r="M36" s="1208"/>
      <c r="N36" s="1208"/>
      <c r="O36" s="1207"/>
      <c r="P36" s="1207"/>
      <c r="Q36" s="1207"/>
      <c r="R36" s="1207"/>
      <c r="S36" s="1207"/>
      <c r="T36" s="1207"/>
      <c r="U36" s="1209"/>
      <c r="V36" s="1209"/>
      <c r="W36" s="1209"/>
      <c r="X36" s="1209"/>
      <c r="Y36" s="1209"/>
      <c r="Z36" s="1209"/>
      <c r="AA36" s="1209"/>
      <c r="AB36" s="1207"/>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c r="AW36" s="1208"/>
      <c r="AX36" s="1208"/>
      <c r="AY36" s="1208"/>
      <c r="AZ36" s="1208"/>
      <c r="BA36" s="1208"/>
      <c r="BB36" s="1208"/>
      <c r="BC36" s="1208"/>
      <c r="BD36" s="1208"/>
      <c r="BE36" s="1208"/>
      <c r="BF36" s="1208"/>
      <c r="BG36" s="1208"/>
      <c r="BH36" s="1208"/>
      <c r="BI36" s="1208"/>
      <c r="BJ36" s="1208"/>
      <c r="BK36" s="1208"/>
      <c r="BL36" s="1208"/>
      <c r="BM36" s="1208"/>
      <c r="BN36" s="1208"/>
      <c r="BO36" s="1208"/>
      <c r="BP36" s="1208"/>
      <c r="BQ36" s="1208"/>
      <c r="BR36" s="1208"/>
      <c r="BS36" s="1208"/>
      <c r="BT36" s="1208"/>
      <c r="BU36" s="1208"/>
      <c r="BV36" s="1208"/>
      <c r="BW36" s="1208"/>
      <c r="BX36" s="1208"/>
      <c r="BY36" s="1208"/>
      <c r="BZ36" s="1208"/>
      <c r="CA36" s="1208"/>
      <c r="CB36" s="1208"/>
      <c r="CC36" s="1208"/>
      <c r="CD36" s="1208"/>
      <c r="CE36" s="1208"/>
      <c r="CF36" s="1208"/>
      <c r="CG36" s="1208"/>
      <c r="CH36" s="1208"/>
      <c r="CI36" s="1208"/>
      <c r="CJ36" s="1208"/>
      <c r="CK36" s="1208"/>
      <c r="CL36" s="1210"/>
      <c r="CM36" s="1210"/>
      <c r="CN36" s="1210"/>
      <c r="CO36" s="1210"/>
      <c r="CP36" s="1210"/>
      <c r="CQ36" s="1210"/>
      <c r="CR36" s="1210"/>
      <c r="CS36" s="1210"/>
      <c r="CT36" s="1210"/>
      <c r="CU36" s="1210"/>
      <c r="CV36" s="1210"/>
      <c r="CW36" s="1210"/>
      <c r="CX36" s="1210"/>
      <c r="CY36" s="1210"/>
      <c r="CZ36" s="1210"/>
      <c r="DA36" s="1210"/>
      <c r="DB36" s="1210"/>
      <c r="DC36" s="1210"/>
      <c r="DD36" s="1210"/>
      <c r="DE36" s="1210"/>
      <c r="DF36" s="1210"/>
      <c r="DG36" s="1210"/>
      <c r="DH36" s="1210"/>
      <c r="DI36" s="1210"/>
      <c r="DJ36" s="1210"/>
      <c r="DK36" s="1210"/>
      <c r="DL36" s="1210"/>
      <c r="DM36" s="1210"/>
      <c r="DN36" s="1210"/>
      <c r="DO36" s="1210"/>
      <c r="DP36" s="1210"/>
      <c r="DQ36" s="1210"/>
      <c r="DR36" s="1210"/>
      <c r="DS36" s="1210"/>
      <c r="DT36" s="1210"/>
      <c r="DU36" s="1210"/>
      <c r="DV36" s="1210"/>
      <c r="DW36" s="1210"/>
      <c r="DX36" s="1210"/>
      <c r="DY36" s="1210"/>
      <c r="DZ36" s="1210"/>
      <c r="EA36" s="1210"/>
      <c r="EB36" s="1210"/>
      <c r="EC36" s="1210"/>
      <c r="ED36" s="1210"/>
      <c r="EE36" s="1210"/>
      <c r="EF36" s="1210"/>
      <c r="EG36" s="1210"/>
      <c r="EH36" s="1210"/>
      <c r="EI36" s="1210"/>
      <c r="EJ36" s="1210"/>
      <c r="EK36" s="1210"/>
      <c r="EL36" s="1210"/>
      <c r="EM36" s="1210"/>
      <c r="EN36" s="1210"/>
      <c r="EO36" s="1210"/>
      <c r="EP36" s="1210"/>
      <c r="EQ36" s="1210"/>
      <c r="ER36" s="1210"/>
      <c r="ES36" s="1210"/>
      <c r="ET36" s="1210"/>
      <c r="EU36" s="1210"/>
      <c r="EV36" s="1210"/>
      <c r="EW36" s="1210"/>
      <c r="EX36" s="1210"/>
      <c r="EY36" s="1210"/>
      <c r="EZ36" s="1210"/>
      <c r="FA36" s="1210"/>
      <c r="FB36" s="1210"/>
      <c r="FC36" s="1210"/>
      <c r="FD36" s="1210"/>
      <c r="FE36" s="1210"/>
      <c r="FF36" s="1210"/>
      <c r="FG36" s="1210"/>
      <c r="FH36" s="1210"/>
      <c r="FI36" s="1210"/>
      <c r="FJ36" s="1210"/>
      <c r="FK36" s="1210"/>
      <c r="FL36" s="1210"/>
      <c r="FM36" s="1210"/>
      <c r="FN36" s="1210"/>
      <c r="FO36" s="1210"/>
      <c r="FP36" s="1210"/>
      <c r="FQ36" s="1210"/>
      <c r="FR36" s="1210"/>
      <c r="FS36" s="1210"/>
      <c r="FT36" s="1210"/>
      <c r="FU36" s="1210"/>
      <c r="FV36" s="1211"/>
      <c r="FW36" s="1205"/>
      <c r="FX36" s="1206"/>
      <c r="FY36" s="929"/>
      <c r="FZ36" s="929"/>
      <c r="GA36" s="929"/>
      <c r="GB36" s="929"/>
    </row>
    <row s="929" customFormat="1" customHeight="1" ht="24.75">
      <c r="A37" s="929" t="s">
        <v>1239</v>
      </c>
      <c r="B37" s="944"/>
      <c r="C37" s="929"/>
      <c r="D37" s="929"/>
      <c r="E37" s="1851"/>
      <c r="F37" s="2406">
        <v>1</v>
      </c>
      <c r="G37" s="2579" t="s">
        <v>1186</v>
      </c>
      <c r="H37" s="1214" t="s">
        <v>1445</v>
      </c>
      <c r="I37" s="1983" t="s">
        <v>1446</v>
      </c>
      <c r="J37" s="1215"/>
      <c r="K37" s="1215"/>
      <c r="L37" s="1215"/>
      <c r="M37" s="1215"/>
      <c r="N37" s="1215"/>
      <c r="O37" s="1216"/>
      <c r="P37" s="1216"/>
      <c r="Q37" s="1216"/>
      <c r="R37" s="1216"/>
      <c r="S37" s="1216"/>
      <c r="T37" s="1216"/>
      <c r="U37" s="1216"/>
      <c r="V37" s="1216"/>
      <c r="W37" s="1216"/>
      <c r="X37" s="1216"/>
      <c r="Y37" s="1216"/>
      <c r="Z37" s="1216"/>
      <c r="AA37" s="1216"/>
      <c r="AB37" s="1216"/>
      <c r="AC37" s="1215"/>
      <c r="AD37" s="1215"/>
      <c r="AE37" s="1215"/>
      <c r="AF37" s="1215"/>
      <c r="AG37" s="1215"/>
      <c r="AH37" s="1215"/>
      <c r="AI37" s="1215"/>
      <c r="AJ37" s="1215"/>
      <c r="AK37" s="1215"/>
      <c r="AL37" s="1215"/>
      <c r="AM37" s="1215"/>
      <c r="AN37" s="1215"/>
      <c r="AO37" s="1215"/>
      <c r="AP37" s="1215"/>
      <c r="AQ37" s="1215"/>
      <c r="AR37" s="1215"/>
      <c r="AS37" s="1215"/>
      <c r="AT37" s="1215"/>
      <c r="AU37" s="1215"/>
      <c r="AV37" s="1215"/>
      <c r="AW37" s="1215"/>
      <c r="AX37" s="1215"/>
      <c r="AY37" s="1215"/>
      <c r="AZ37" s="1215"/>
      <c r="BA37" s="1215"/>
      <c r="BB37" s="1215"/>
      <c r="BC37" s="1215"/>
      <c r="BD37" s="1215"/>
      <c r="BE37" s="1215"/>
      <c r="BF37" s="1215"/>
      <c r="BG37" s="1215"/>
      <c r="BH37" s="1215"/>
      <c r="BI37" s="1215"/>
      <c r="BJ37" s="1215"/>
      <c r="BK37" s="1215"/>
      <c r="BL37" s="1215"/>
      <c r="BM37" s="1215"/>
      <c r="BN37" s="1215"/>
      <c r="BO37" s="1215"/>
      <c r="BP37" s="1215"/>
      <c r="BQ37" s="1215"/>
      <c r="BR37" s="1215"/>
      <c r="BS37" s="1215"/>
      <c r="BT37" s="1216">
        <v>0</v>
      </c>
      <c r="BU37" s="1216">
        <v>0</v>
      </c>
      <c r="BV37" s="1216">
        <v>0</v>
      </c>
      <c r="BW37" s="1216">
        <v>0</v>
      </c>
      <c r="BX37" s="1216">
        <v>48.35</v>
      </c>
      <c r="BY37" s="1216">
        <v>46.87</v>
      </c>
      <c r="BZ37" s="1216">
        <v>0</v>
      </c>
      <c r="CA37" s="1216">
        <v>0</v>
      </c>
      <c r="CB37" s="1216">
        <v>0</v>
      </c>
      <c r="CC37" s="1216">
        <v>0</v>
      </c>
      <c r="CD37" s="1216"/>
      <c r="CE37" s="1216"/>
      <c r="CF37" s="1216"/>
      <c r="CG37" s="1216"/>
      <c r="CH37" s="1216"/>
      <c r="CI37" s="1216"/>
      <c r="CJ37" s="1216"/>
      <c r="CK37" s="1216"/>
      <c r="CL37" s="1215"/>
      <c r="CM37" s="1215"/>
      <c r="CN37" s="1215"/>
      <c r="CO37" s="1215"/>
      <c r="CP37" s="1215"/>
      <c r="CQ37" s="1215"/>
      <c r="CR37" s="1215"/>
      <c r="CS37" s="1215"/>
      <c r="CT37" s="1215"/>
      <c r="CU37" s="1215"/>
      <c r="CV37" s="1215"/>
      <c r="CW37" s="1215"/>
      <c r="CX37" s="1215"/>
      <c r="CY37" s="1216"/>
      <c r="CZ37" s="1216"/>
      <c r="DA37" s="1216"/>
      <c r="DB37" s="1216"/>
      <c r="DC37" s="1216"/>
      <c r="DD37" s="1216"/>
      <c r="DE37" s="1216"/>
      <c r="DF37" s="1216"/>
      <c r="DG37" s="1216"/>
      <c r="DH37" s="1216"/>
      <c r="DI37" s="1216"/>
      <c r="DJ37" s="1216"/>
      <c r="DK37" s="1215"/>
      <c r="DL37" s="1215"/>
      <c r="DM37" s="1215"/>
      <c r="DN37" s="1215"/>
      <c r="DO37" s="1215"/>
      <c r="DP37" s="1215"/>
      <c r="DQ37" s="1215"/>
      <c r="DR37" s="1215"/>
      <c r="DS37" s="1215"/>
      <c r="DT37" s="1215"/>
      <c r="DU37" s="1215"/>
      <c r="DV37" s="1215"/>
      <c r="DW37" s="1215"/>
      <c r="DX37" s="1215"/>
      <c r="DY37" s="1215"/>
      <c r="DZ37" s="1215"/>
      <c r="EA37" s="1215"/>
      <c r="EB37" s="1215"/>
      <c r="EC37" s="1215"/>
      <c r="ED37" s="1215"/>
      <c r="EE37" s="1215"/>
      <c r="EF37" s="1215"/>
      <c r="EG37" s="1215"/>
      <c r="EH37" s="1215"/>
      <c r="EI37" s="1215"/>
      <c r="EJ37" s="1215"/>
      <c r="EK37" s="1215"/>
      <c r="EL37" s="1215"/>
      <c r="EM37" s="1215"/>
      <c r="EN37" s="1215"/>
      <c r="EO37" s="1215"/>
      <c r="EP37" s="1215"/>
      <c r="EQ37" s="1215"/>
      <c r="ER37" s="1215"/>
      <c r="ES37" s="1215"/>
      <c r="ET37" s="1215"/>
      <c r="EU37" s="1215"/>
      <c r="EV37" s="1215"/>
      <c r="EW37" s="1215"/>
      <c r="EX37" s="1215"/>
      <c r="EY37" s="1215"/>
      <c r="EZ37" s="1215"/>
      <c r="FA37" s="1215"/>
      <c r="FB37" s="1215"/>
      <c r="FC37" s="1215"/>
      <c r="FD37" s="1215"/>
      <c r="FE37" s="1215"/>
      <c r="FF37" s="1215"/>
      <c r="FG37" s="1215"/>
      <c r="FH37" s="1215"/>
      <c r="FI37" s="1215"/>
      <c r="FJ37" s="1215"/>
      <c r="FK37" s="1215"/>
      <c r="FL37" s="1215"/>
      <c r="FM37" s="1215"/>
      <c r="FN37" s="1215"/>
      <c r="FO37" s="1215"/>
      <c r="FP37" s="1215"/>
      <c r="FQ37" s="1215"/>
      <c r="FR37" s="1215"/>
      <c r="FS37" s="1215"/>
      <c r="FT37" s="1215"/>
      <c r="FU37" s="1215"/>
      <c r="FV37" s="1215"/>
      <c r="FW37" s="1215"/>
      <c r="FX37" s="1206"/>
      <c r="FY37" s="929"/>
      <c r="FZ37" s="929"/>
      <c r="GA37" s="929"/>
      <c r="GB37" s="929"/>
    </row>
    <row s="929" customFormat="1" customHeight="1" ht="12">
      <c r="A38" s="929" t="s">
        <v>1239</v>
      </c>
      <c r="B38" s="944"/>
      <c r="C38" s="929"/>
      <c r="D38" s="929"/>
      <c r="E38" s="929"/>
      <c r="F38" s="4224"/>
      <c r="G38" s="4225" t="s">
        <v>1447</v>
      </c>
      <c r="H38" s="4226"/>
      <c r="I38" s="4227"/>
      <c r="J38" s="4228"/>
      <c r="K38" s="4229"/>
      <c r="L38" s="4230"/>
      <c r="M38" s="4231"/>
      <c r="N38" s="4232"/>
      <c r="O38" s="4233"/>
      <c r="P38" s="4234"/>
      <c r="Q38" s="4235"/>
      <c r="R38" s="4236"/>
      <c r="S38" s="4237"/>
      <c r="T38" s="4238"/>
      <c r="U38" s="4239"/>
      <c r="V38" s="4240"/>
      <c r="W38" s="4241"/>
      <c r="X38" s="4242"/>
      <c r="Y38" s="4243"/>
      <c r="Z38" s="4244"/>
      <c r="AA38" s="4245"/>
      <c r="AB38" s="4246"/>
      <c r="AC38" s="4247"/>
      <c r="AD38" s="4248"/>
      <c r="AE38" s="4249"/>
      <c r="AF38" s="4250"/>
      <c r="AG38" s="4251"/>
      <c r="AH38" s="4252"/>
      <c r="AI38" s="4253"/>
      <c r="AJ38" s="4254"/>
      <c r="AK38" s="4255"/>
      <c r="AL38" s="4256"/>
      <c r="AM38" s="4257"/>
      <c r="AN38" s="4258"/>
      <c r="AO38" s="4259"/>
      <c r="AP38" s="4260"/>
      <c r="AQ38" s="4261"/>
      <c r="AR38" s="4262"/>
      <c r="AS38" s="4263"/>
      <c r="AT38" s="4264"/>
      <c r="AU38" s="4265"/>
      <c r="AV38" s="4266"/>
      <c r="AW38" s="4267"/>
      <c r="AX38" s="4268"/>
      <c r="AY38" s="4269"/>
      <c r="AZ38" s="4270"/>
      <c r="BA38" s="4271"/>
      <c r="BB38" s="4272"/>
      <c r="BC38" s="4273"/>
      <c r="BD38" s="4274"/>
      <c r="BE38" s="4275"/>
      <c r="BF38" s="4276"/>
      <c r="BG38" s="4277"/>
      <c r="BH38" s="4278"/>
      <c r="BI38" s="4279"/>
      <c r="BJ38" s="4280"/>
      <c r="BK38" s="4281"/>
      <c r="BL38" s="4282"/>
      <c r="BM38" s="4283"/>
      <c r="BN38" s="4284"/>
      <c r="BO38" s="4285"/>
      <c r="BP38" s="4286"/>
      <c r="BQ38" s="4287"/>
      <c r="BR38" s="4288"/>
      <c r="BS38" s="4289"/>
      <c r="BT38" s="4290"/>
      <c r="BU38" s="4291"/>
      <c r="BV38" s="4292"/>
      <c r="BW38" s="4293"/>
      <c r="BX38" s="4294"/>
      <c r="BY38" s="4295"/>
      <c r="BZ38" s="4296"/>
      <c r="CA38" s="4297"/>
      <c r="CB38" s="4298"/>
      <c r="CC38" s="4299"/>
      <c r="CD38" s="4300"/>
      <c r="CE38" s="4301"/>
      <c r="CF38" s="4302"/>
      <c r="CG38" s="4303"/>
      <c r="CH38" s="4304"/>
      <c r="CI38" s="4305"/>
      <c r="CJ38" s="4306"/>
      <c r="CK38" s="4307"/>
      <c r="CL38" s="4308"/>
      <c r="CM38" s="4309"/>
      <c r="CN38" s="4310"/>
      <c r="CO38" s="4311"/>
      <c r="CP38" s="4312"/>
      <c r="CQ38" s="4313"/>
      <c r="CR38" s="4314"/>
      <c r="CS38" s="4315"/>
      <c r="CT38" s="4316"/>
      <c r="CU38" s="4317"/>
      <c r="CV38" s="4318"/>
      <c r="CW38" s="4319"/>
      <c r="CX38" s="4320"/>
      <c r="CY38" s="4321"/>
      <c r="CZ38" s="4322"/>
      <c r="DA38" s="4323"/>
      <c r="DB38" s="4324"/>
      <c r="DC38" s="4325"/>
      <c r="DD38" s="4326"/>
      <c r="DE38" s="4327"/>
      <c r="DF38" s="4328"/>
      <c r="DG38" s="4329"/>
      <c r="DH38" s="4330"/>
      <c r="DI38" s="4331"/>
      <c r="DJ38" s="4332"/>
      <c r="DK38" s="4333"/>
      <c r="DL38" s="4334"/>
      <c r="DM38" s="4335"/>
      <c r="DN38" s="4336"/>
      <c r="DO38" s="4337"/>
      <c r="DP38" s="4338"/>
      <c r="DQ38" s="4339"/>
      <c r="DR38" s="4340"/>
      <c r="DS38" s="4341"/>
      <c r="DT38" s="4342"/>
      <c r="DU38" s="4343"/>
      <c r="DV38" s="4344"/>
      <c r="DW38" s="4345"/>
      <c r="DX38" s="4346"/>
      <c r="DY38" s="4347"/>
      <c r="DZ38" s="4348"/>
      <c r="EA38" s="4349"/>
      <c r="EB38" s="4350"/>
      <c r="EC38" s="4351"/>
      <c r="ED38" s="4352"/>
      <c r="EE38" s="4353"/>
      <c r="EF38" s="4354"/>
      <c r="EG38" s="4355"/>
      <c r="EH38" s="4356"/>
      <c r="EI38" s="4357"/>
      <c r="EJ38" s="4358"/>
      <c r="EK38" s="4359"/>
      <c r="EL38" s="4360"/>
      <c r="EM38" s="4361"/>
      <c r="EN38" s="4362"/>
      <c r="EO38" s="4363"/>
      <c r="EP38" s="4364"/>
      <c r="EQ38" s="4365"/>
      <c r="ER38" s="4366"/>
      <c r="ES38" s="4367"/>
      <c r="ET38" s="4368"/>
      <c r="EU38" s="4369"/>
      <c r="EV38" s="4370"/>
      <c r="EW38" s="4371"/>
      <c r="EX38" s="4372"/>
      <c r="EY38" s="4373"/>
      <c r="EZ38" s="4374"/>
      <c r="FA38" s="4375"/>
      <c r="FB38" s="4376"/>
      <c r="FC38" s="4377"/>
      <c r="FD38" s="4378"/>
      <c r="FE38" s="4379"/>
      <c r="FF38" s="4380"/>
      <c r="FG38" s="4381"/>
      <c r="FH38" s="4382"/>
      <c r="FI38" s="4383"/>
      <c r="FJ38" s="4384"/>
      <c r="FK38" s="4385"/>
      <c r="FL38" s="4386"/>
      <c r="FM38" s="4387"/>
      <c r="FN38" s="4388"/>
      <c r="FO38" s="4389"/>
      <c r="FP38" s="4390"/>
      <c r="FQ38" s="4391"/>
      <c r="FR38" s="4392"/>
      <c r="FS38" s="4393"/>
      <c r="FT38" s="4394"/>
      <c r="FU38" s="4395"/>
      <c r="FV38" s="4396"/>
      <c r="FW38" s="4397"/>
      <c r="FX38" s="1826"/>
      <c r="FY38" s="1066"/>
      <c r="FZ38" s="1066"/>
      <c r="GA38" s="1066"/>
      <c r="GB38" s="1066"/>
    </row>
    <row s="929" customFormat="1" customHeight="1" ht="21">
      <c r="A39" s="1328" t="s">
        <v>1246</v>
      </c>
      <c r="B39" s="944"/>
      <c r="C39" s="929"/>
      <c r="D39" s="929"/>
      <c r="E39" s="943" t="s">
        <v>22</v>
      </c>
      <c r="F39" s="1125" t="str">
        <f>INDEX(IP_MAIN_LIST_NAME_IP,MATCH(A39,IP_MAIN_LIST_IP_ID,0))&amp;" ("&amp;INDEX(IP_MAIN_START_DATE,MATCH(A39,IP_MAIN_LIST_IP_ID,0))&amp;"-"&amp;INDEX(IP_MAIN_END_DATE,MATCH(A39,IP_MAIN_LIST_IP_ID,0))&amp;")"</f>
        <v>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 (01.01.2021-31.12.2029)</v>
      </c>
      <c r="G39" s="1207"/>
      <c r="H39" s="1208"/>
      <c r="I39" s="1208"/>
      <c r="J39" s="1208"/>
      <c r="K39" s="1208"/>
      <c r="L39" s="1208"/>
      <c r="M39" s="1208"/>
      <c r="N39" s="1208"/>
      <c r="O39" s="1207"/>
      <c r="P39" s="1207"/>
      <c r="Q39" s="1207"/>
      <c r="R39" s="1207"/>
      <c r="S39" s="1207"/>
      <c r="T39" s="1207"/>
      <c r="U39" s="1209"/>
      <c r="V39" s="1209"/>
      <c r="W39" s="1209"/>
      <c r="X39" s="1209"/>
      <c r="Y39" s="1209"/>
      <c r="Z39" s="1209"/>
      <c r="AA39" s="1209"/>
      <c r="AB39" s="1207"/>
      <c r="AC39" s="1208"/>
      <c r="AD39" s="1208"/>
      <c r="AE39" s="1208"/>
      <c r="AF39" s="1208"/>
      <c r="AG39" s="1208"/>
      <c r="AH39" s="1208"/>
      <c r="AI39" s="1208"/>
      <c r="AJ39" s="1208"/>
      <c r="AK39" s="1208"/>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c r="BG39" s="1208"/>
      <c r="BH39" s="1208"/>
      <c r="BI39" s="1208"/>
      <c r="BJ39" s="1208"/>
      <c r="BK39" s="1208"/>
      <c r="BL39" s="1208"/>
      <c r="BM39" s="1208"/>
      <c r="BN39" s="1208"/>
      <c r="BO39" s="1208"/>
      <c r="BP39" s="1208"/>
      <c r="BQ39" s="1208"/>
      <c r="BR39" s="1208"/>
      <c r="BS39" s="1208"/>
      <c r="BT39" s="1208"/>
      <c r="BU39" s="1208"/>
      <c r="BV39" s="1208"/>
      <c r="BW39" s="1208"/>
      <c r="BX39" s="1208"/>
      <c r="BY39" s="1208"/>
      <c r="BZ39" s="1208"/>
      <c r="CA39" s="1208"/>
      <c r="CB39" s="1208"/>
      <c r="CC39" s="1208"/>
      <c r="CD39" s="1208"/>
      <c r="CE39" s="1208"/>
      <c r="CF39" s="1208"/>
      <c r="CG39" s="1208"/>
      <c r="CH39" s="1208"/>
      <c r="CI39" s="1208"/>
      <c r="CJ39" s="1208"/>
      <c r="CK39" s="1208"/>
      <c r="CL39" s="1210"/>
      <c r="CM39" s="1210"/>
      <c r="CN39" s="1210"/>
      <c r="CO39" s="1210"/>
      <c r="CP39" s="1210"/>
      <c r="CQ39" s="1210"/>
      <c r="CR39" s="1210"/>
      <c r="CS39" s="1210"/>
      <c r="CT39" s="1210"/>
      <c r="CU39" s="1210"/>
      <c r="CV39" s="1210"/>
      <c r="CW39" s="1210"/>
      <c r="CX39" s="1210"/>
      <c r="CY39" s="1210"/>
      <c r="CZ39" s="1210"/>
      <c r="DA39" s="1210"/>
      <c r="DB39" s="1210"/>
      <c r="DC39" s="1210"/>
      <c r="DD39" s="1210"/>
      <c r="DE39" s="1210"/>
      <c r="DF39" s="1210"/>
      <c r="DG39" s="1210"/>
      <c r="DH39" s="1210"/>
      <c r="DI39" s="1210"/>
      <c r="DJ39" s="1210"/>
      <c r="DK39" s="1210"/>
      <c r="DL39" s="1210"/>
      <c r="DM39" s="1210"/>
      <c r="DN39" s="1210"/>
      <c r="DO39" s="1210"/>
      <c r="DP39" s="1210"/>
      <c r="DQ39" s="1210"/>
      <c r="DR39" s="1210"/>
      <c r="DS39" s="1210"/>
      <c r="DT39" s="1210"/>
      <c r="DU39" s="1210"/>
      <c r="DV39" s="1210"/>
      <c r="DW39" s="1210"/>
      <c r="DX39" s="1210"/>
      <c r="DY39" s="1210"/>
      <c r="DZ39" s="1210"/>
      <c r="EA39" s="1210"/>
      <c r="EB39" s="1210"/>
      <c r="EC39" s="1210"/>
      <c r="ED39" s="1210"/>
      <c r="EE39" s="1210"/>
      <c r="EF39" s="1210"/>
      <c r="EG39" s="1210"/>
      <c r="EH39" s="1210"/>
      <c r="EI39" s="1210"/>
      <c r="EJ39" s="1210"/>
      <c r="EK39" s="1210"/>
      <c r="EL39" s="1210"/>
      <c r="EM39" s="1210"/>
      <c r="EN39" s="1210"/>
      <c r="EO39" s="1210"/>
      <c r="EP39" s="1210"/>
      <c r="EQ39" s="1210"/>
      <c r="ER39" s="1210"/>
      <c r="ES39" s="1210"/>
      <c r="ET39" s="1210"/>
      <c r="EU39" s="1210"/>
      <c r="EV39" s="1210"/>
      <c r="EW39" s="1210"/>
      <c r="EX39" s="1210"/>
      <c r="EY39" s="1210"/>
      <c r="EZ39" s="1210"/>
      <c r="FA39" s="1210"/>
      <c r="FB39" s="1210"/>
      <c r="FC39" s="1210"/>
      <c r="FD39" s="1210"/>
      <c r="FE39" s="1210"/>
      <c r="FF39" s="1210"/>
      <c r="FG39" s="1210"/>
      <c r="FH39" s="1210"/>
      <c r="FI39" s="1210"/>
      <c r="FJ39" s="1210"/>
      <c r="FK39" s="1210"/>
      <c r="FL39" s="1210"/>
      <c r="FM39" s="1210"/>
      <c r="FN39" s="1210"/>
      <c r="FO39" s="1210"/>
      <c r="FP39" s="1210"/>
      <c r="FQ39" s="1210"/>
      <c r="FR39" s="1210"/>
      <c r="FS39" s="1210"/>
      <c r="FT39" s="1210"/>
      <c r="FU39" s="1210"/>
      <c r="FV39" s="1211"/>
      <c r="FW39" s="1205"/>
      <c r="FX39" s="1206"/>
      <c r="FY39" s="929"/>
      <c r="FZ39" s="929"/>
      <c r="GA39" s="929"/>
      <c r="GB39" s="929"/>
    </row>
    <row s="929" customFormat="1" customHeight="1" ht="24.75">
      <c r="A40" s="929" t="s">
        <v>1246</v>
      </c>
      <c r="B40" s="944"/>
      <c r="C40" s="929"/>
      <c r="D40" s="929"/>
      <c r="E40" s="1851"/>
      <c r="F40" s="2406">
        <v>1</v>
      </c>
      <c r="G40" s="2579" t="s">
        <v>1186</v>
      </c>
      <c r="H40" s="1214" t="s">
        <v>1445</v>
      </c>
      <c r="I40" s="1983" t="s">
        <v>1446</v>
      </c>
      <c r="J40" s="1215"/>
      <c r="K40" s="1215"/>
      <c r="L40" s="1215"/>
      <c r="M40" s="1215"/>
      <c r="N40" s="1215"/>
      <c r="O40" s="1216"/>
      <c r="P40" s="1216"/>
      <c r="Q40" s="1216"/>
      <c r="R40" s="1216"/>
      <c r="S40" s="1216"/>
      <c r="T40" s="1216"/>
      <c r="U40" s="1216"/>
      <c r="V40" s="1216"/>
      <c r="W40" s="1216"/>
      <c r="X40" s="1216"/>
      <c r="Y40" s="1216"/>
      <c r="Z40" s="1216"/>
      <c r="AA40" s="1216"/>
      <c r="AB40" s="1216"/>
      <c r="AC40" s="1215"/>
      <c r="AD40" s="1215"/>
      <c r="AE40" s="1215"/>
      <c r="AF40" s="1215"/>
      <c r="AG40" s="1215"/>
      <c r="AH40" s="1215"/>
      <c r="AI40" s="1215"/>
      <c r="AJ40" s="1215"/>
      <c r="AK40" s="1215"/>
      <c r="AL40" s="1215"/>
      <c r="AM40" s="1215"/>
      <c r="AN40" s="1215"/>
      <c r="AO40" s="1215"/>
      <c r="AP40" s="1215"/>
      <c r="AQ40" s="1215"/>
      <c r="AR40" s="1215"/>
      <c r="AS40" s="1215"/>
      <c r="AT40" s="1215"/>
      <c r="AU40" s="1215"/>
      <c r="AV40" s="1215"/>
      <c r="AW40" s="1215"/>
      <c r="AX40" s="1215"/>
      <c r="AY40" s="1215"/>
      <c r="AZ40" s="1215"/>
      <c r="BA40" s="1215"/>
      <c r="BB40" s="1215"/>
      <c r="BC40" s="1215"/>
      <c r="BD40" s="1215"/>
      <c r="BE40" s="1215"/>
      <c r="BF40" s="1215"/>
      <c r="BG40" s="1215"/>
      <c r="BH40" s="1215"/>
      <c r="BI40" s="1215"/>
      <c r="BJ40" s="1215"/>
      <c r="BK40" s="1215"/>
      <c r="BL40" s="1215"/>
      <c r="BM40" s="1215"/>
      <c r="BN40" s="1215"/>
      <c r="BO40" s="1215"/>
      <c r="BP40" s="1215"/>
      <c r="BQ40" s="1215"/>
      <c r="BR40" s="1215"/>
      <c r="BS40" s="1215"/>
      <c r="BT40" s="1216">
        <v>0</v>
      </c>
      <c r="BU40" s="1216">
        <v>0</v>
      </c>
      <c r="BV40" s="1216">
        <v>0</v>
      </c>
      <c r="BW40" s="1216">
        <v>0</v>
      </c>
      <c r="BX40" s="1216">
        <v>11.65</v>
      </c>
      <c r="BY40" s="1216">
        <v>8.71</v>
      </c>
      <c r="BZ40" s="1216">
        <v>0</v>
      </c>
      <c r="CA40" s="1216">
        <v>0</v>
      </c>
      <c r="CB40" s="1216">
        <v>0</v>
      </c>
      <c r="CC40" s="1216">
        <v>0</v>
      </c>
      <c r="CD40" s="1216"/>
      <c r="CE40" s="1216"/>
      <c r="CF40" s="1216"/>
      <c r="CG40" s="1216"/>
      <c r="CH40" s="1216"/>
      <c r="CI40" s="1216"/>
      <c r="CJ40" s="1216"/>
      <c r="CK40" s="1216"/>
      <c r="CL40" s="1215"/>
      <c r="CM40" s="1215"/>
      <c r="CN40" s="1215"/>
      <c r="CO40" s="1215"/>
      <c r="CP40" s="1215"/>
      <c r="CQ40" s="1215"/>
      <c r="CR40" s="1215"/>
      <c r="CS40" s="1215"/>
      <c r="CT40" s="1215"/>
      <c r="CU40" s="1215"/>
      <c r="CV40" s="1215"/>
      <c r="CW40" s="1215"/>
      <c r="CX40" s="1215"/>
      <c r="CY40" s="1216"/>
      <c r="CZ40" s="1216"/>
      <c r="DA40" s="1216"/>
      <c r="DB40" s="1216"/>
      <c r="DC40" s="1216"/>
      <c r="DD40" s="1216"/>
      <c r="DE40" s="1216"/>
      <c r="DF40" s="1216"/>
      <c r="DG40" s="1216"/>
      <c r="DH40" s="1216"/>
      <c r="DI40" s="1216"/>
      <c r="DJ40" s="1216"/>
      <c r="DK40" s="1215"/>
      <c r="DL40" s="1215"/>
      <c r="DM40" s="1215"/>
      <c r="DN40" s="1215"/>
      <c r="DO40" s="1215"/>
      <c r="DP40" s="1215"/>
      <c r="DQ40" s="1215"/>
      <c r="DR40" s="1215"/>
      <c r="DS40" s="1215"/>
      <c r="DT40" s="1215"/>
      <c r="DU40" s="1215"/>
      <c r="DV40" s="1215"/>
      <c r="DW40" s="1215"/>
      <c r="DX40" s="1215"/>
      <c r="DY40" s="1215"/>
      <c r="DZ40" s="1215"/>
      <c r="EA40" s="1215"/>
      <c r="EB40" s="1215"/>
      <c r="EC40" s="1215"/>
      <c r="ED40" s="1215"/>
      <c r="EE40" s="1215"/>
      <c r="EF40" s="1215"/>
      <c r="EG40" s="1215"/>
      <c r="EH40" s="1215"/>
      <c r="EI40" s="1215"/>
      <c r="EJ40" s="1215"/>
      <c r="EK40" s="1215"/>
      <c r="EL40" s="1215"/>
      <c r="EM40" s="1215"/>
      <c r="EN40" s="1215"/>
      <c r="EO40" s="1215"/>
      <c r="EP40" s="1215"/>
      <c r="EQ40" s="1215"/>
      <c r="ER40" s="1215"/>
      <c r="ES40" s="1215"/>
      <c r="ET40" s="1215"/>
      <c r="EU40" s="1215"/>
      <c r="EV40" s="1215"/>
      <c r="EW40" s="1215"/>
      <c r="EX40" s="1215"/>
      <c r="EY40" s="1215"/>
      <c r="EZ40" s="1215"/>
      <c r="FA40" s="1215"/>
      <c r="FB40" s="1215"/>
      <c r="FC40" s="1215"/>
      <c r="FD40" s="1215"/>
      <c r="FE40" s="1215"/>
      <c r="FF40" s="1215"/>
      <c r="FG40" s="1215"/>
      <c r="FH40" s="1215"/>
      <c r="FI40" s="1215"/>
      <c r="FJ40" s="1215"/>
      <c r="FK40" s="1215"/>
      <c r="FL40" s="1215"/>
      <c r="FM40" s="1215"/>
      <c r="FN40" s="1215"/>
      <c r="FO40" s="1215"/>
      <c r="FP40" s="1215"/>
      <c r="FQ40" s="1215"/>
      <c r="FR40" s="1215"/>
      <c r="FS40" s="1215"/>
      <c r="FT40" s="1215"/>
      <c r="FU40" s="1215"/>
      <c r="FV40" s="1215"/>
      <c r="FW40" s="1215"/>
      <c r="FX40" s="1206"/>
      <c r="FY40" s="929"/>
      <c r="FZ40" s="929"/>
      <c r="GA40" s="929"/>
      <c r="GB40" s="929"/>
    </row>
    <row s="929" customFormat="1" customHeight="1" ht="12">
      <c r="A41" s="929" t="s">
        <v>1246</v>
      </c>
      <c r="B41" s="944"/>
      <c r="C41" s="929"/>
      <c r="D41" s="929"/>
      <c r="E41" s="929"/>
      <c r="F41" s="4398"/>
      <c r="G41" s="4399" t="s">
        <v>1447</v>
      </c>
      <c r="H41" s="4400"/>
      <c r="I41" s="4401"/>
      <c r="J41" s="4402"/>
      <c r="K41" s="4403"/>
      <c r="L41" s="4404"/>
      <c r="M41" s="4405"/>
      <c r="N41" s="4406"/>
      <c r="O41" s="4407"/>
      <c r="P41" s="4408"/>
      <c r="Q41" s="4409"/>
      <c r="R41" s="4410"/>
      <c r="S41" s="4411"/>
      <c r="T41" s="4412"/>
      <c r="U41" s="4413"/>
      <c r="V41" s="4414"/>
      <c r="W41" s="4415"/>
      <c r="X41" s="4416"/>
      <c r="Y41" s="4417"/>
      <c r="Z41" s="4418"/>
      <c r="AA41" s="4419"/>
      <c r="AB41" s="4420"/>
      <c r="AC41" s="4421"/>
      <c r="AD41" s="4422"/>
      <c r="AE41" s="4423"/>
      <c r="AF41" s="4424"/>
      <c r="AG41" s="4425"/>
      <c r="AH41" s="4426"/>
      <c r="AI41" s="4427"/>
      <c r="AJ41" s="4428"/>
      <c r="AK41" s="4429"/>
      <c r="AL41" s="4430"/>
      <c r="AM41" s="4431"/>
      <c r="AN41" s="4432"/>
      <c r="AO41" s="4433"/>
      <c r="AP41" s="4434"/>
      <c r="AQ41" s="4435"/>
      <c r="AR41" s="4436"/>
      <c r="AS41" s="4437"/>
      <c r="AT41" s="4438"/>
      <c r="AU41" s="4439"/>
      <c r="AV41" s="4440"/>
      <c r="AW41" s="4441"/>
      <c r="AX41" s="4442"/>
      <c r="AY41" s="4443"/>
      <c r="AZ41" s="4444"/>
      <c r="BA41" s="4445"/>
      <c r="BB41" s="4446"/>
      <c r="BC41" s="4447"/>
      <c r="BD41" s="4448"/>
      <c r="BE41" s="4449"/>
      <c r="BF41" s="4450"/>
      <c r="BG41" s="4451"/>
      <c r="BH41" s="4452"/>
      <c r="BI41" s="4453"/>
      <c r="BJ41" s="4454"/>
      <c r="BK41" s="4455"/>
      <c r="BL41" s="4456"/>
      <c r="BM41" s="4457"/>
      <c r="BN41" s="4458"/>
      <c r="BO41" s="4459"/>
      <c r="BP41" s="4460"/>
      <c r="BQ41" s="4461"/>
      <c r="BR41" s="4462"/>
      <c r="BS41" s="4463"/>
      <c r="BT41" s="4464"/>
      <c r="BU41" s="4465"/>
      <c r="BV41" s="4466"/>
      <c r="BW41" s="4467"/>
      <c r="BX41" s="4468"/>
      <c r="BY41" s="4469"/>
      <c r="BZ41" s="4470"/>
      <c r="CA41" s="4471"/>
      <c r="CB41" s="4472"/>
      <c r="CC41" s="4473"/>
      <c r="CD41" s="4474"/>
      <c r="CE41" s="4475"/>
      <c r="CF41" s="4476"/>
      <c r="CG41" s="4477"/>
      <c r="CH41" s="4478"/>
      <c r="CI41" s="4479"/>
      <c r="CJ41" s="4480"/>
      <c r="CK41" s="4481"/>
      <c r="CL41" s="4482"/>
      <c r="CM41" s="4483"/>
      <c r="CN41" s="4484"/>
      <c r="CO41" s="4485"/>
      <c r="CP41" s="4486"/>
      <c r="CQ41" s="4487"/>
      <c r="CR41" s="4488"/>
      <c r="CS41" s="4489"/>
      <c r="CT41" s="4490"/>
      <c r="CU41" s="4491"/>
      <c r="CV41" s="4492"/>
      <c r="CW41" s="4493"/>
      <c r="CX41" s="4494"/>
      <c r="CY41" s="4495"/>
      <c r="CZ41" s="4496"/>
      <c r="DA41" s="4497"/>
      <c r="DB41" s="4498"/>
      <c r="DC41" s="4499"/>
      <c r="DD41" s="4500"/>
      <c r="DE41" s="4501"/>
      <c r="DF41" s="4502"/>
      <c r="DG41" s="4503"/>
      <c r="DH41" s="4504"/>
      <c r="DI41" s="4505"/>
      <c r="DJ41" s="4506"/>
      <c r="DK41" s="4507"/>
      <c r="DL41" s="4508"/>
      <c r="DM41" s="4509"/>
      <c r="DN41" s="4510"/>
      <c r="DO41" s="4511"/>
      <c r="DP41" s="4512"/>
      <c r="DQ41" s="4513"/>
      <c r="DR41" s="4514"/>
      <c r="DS41" s="4515"/>
      <c r="DT41" s="4516"/>
      <c r="DU41" s="4517"/>
      <c r="DV41" s="4518"/>
      <c r="DW41" s="4519"/>
      <c r="DX41" s="4520"/>
      <c r="DY41" s="4521"/>
      <c r="DZ41" s="4522"/>
      <c r="EA41" s="4523"/>
      <c r="EB41" s="4524"/>
      <c r="EC41" s="4525"/>
      <c r="ED41" s="4526"/>
      <c r="EE41" s="4527"/>
      <c r="EF41" s="4528"/>
      <c r="EG41" s="4529"/>
      <c r="EH41" s="4530"/>
      <c r="EI41" s="4531"/>
      <c r="EJ41" s="4532"/>
      <c r="EK41" s="4533"/>
      <c r="EL41" s="4534"/>
      <c r="EM41" s="4535"/>
      <c r="EN41" s="4536"/>
      <c r="EO41" s="4537"/>
      <c r="EP41" s="4538"/>
      <c r="EQ41" s="4539"/>
      <c r="ER41" s="4540"/>
      <c r="ES41" s="4541"/>
      <c r="ET41" s="4542"/>
      <c r="EU41" s="4543"/>
      <c r="EV41" s="4544"/>
      <c r="EW41" s="4545"/>
      <c r="EX41" s="4546"/>
      <c r="EY41" s="4547"/>
      <c r="EZ41" s="4548"/>
      <c r="FA41" s="4549"/>
      <c r="FB41" s="4550"/>
      <c r="FC41" s="4551"/>
      <c r="FD41" s="4552"/>
      <c r="FE41" s="4553"/>
      <c r="FF41" s="4554"/>
      <c r="FG41" s="4555"/>
      <c r="FH41" s="4556"/>
      <c r="FI41" s="4557"/>
      <c r="FJ41" s="4558"/>
      <c r="FK41" s="4559"/>
      <c r="FL41" s="4560"/>
      <c r="FM41" s="4561"/>
      <c r="FN41" s="4562"/>
      <c r="FO41" s="4563"/>
      <c r="FP41" s="4564"/>
      <c r="FQ41" s="4565"/>
      <c r="FR41" s="4566"/>
      <c r="FS41" s="4567"/>
      <c r="FT41" s="4568"/>
      <c r="FU41" s="4569"/>
      <c r="FV41" s="4570"/>
      <c r="FW41" s="4571"/>
      <c r="FX41" s="1826"/>
      <c r="FY41" s="1066"/>
      <c r="FZ41" s="1066"/>
      <c r="GA41" s="1066"/>
      <c r="GB41" s="1066"/>
    </row>
    <row s="929" customFormat="1" customHeight="1" ht="21">
      <c r="A42" s="1328" t="s">
        <v>1253</v>
      </c>
      <c r="B42" s="944"/>
      <c r="C42" s="929"/>
      <c r="D42" s="929"/>
      <c r="E42" s="943" t="s">
        <v>22</v>
      </c>
      <c r="F42" s="1125" t="str">
        <f>INDEX(IP_MAIN_LIST_NAME_IP,MATCH(A42,IP_MAIN_LIST_IP_ID,0))&amp;" ("&amp;INDEX(IP_MAIN_START_DATE,MATCH(A42,IP_MAIN_LIST_IP_ID,0))&amp;"-"&amp;INDEX(IP_MAIN_END_DATE,MATCH(A42,IP_MAIN_LIST_IP_ID,0))&amp;")"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2" s="1207"/>
      <c r="H42" s="1208"/>
      <c r="I42" s="1208"/>
      <c r="J42" s="1208"/>
      <c r="K42" s="1208"/>
      <c r="L42" s="1208"/>
      <c r="M42" s="1208"/>
      <c r="N42" s="1208"/>
      <c r="O42" s="1207"/>
      <c r="P42" s="1207"/>
      <c r="Q42" s="1207"/>
      <c r="R42" s="1207"/>
      <c r="S42" s="1207"/>
      <c r="T42" s="1207"/>
      <c r="U42" s="1209"/>
      <c r="V42" s="1209"/>
      <c r="W42" s="1209"/>
      <c r="X42" s="1209"/>
      <c r="Y42" s="1209"/>
      <c r="Z42" s="1209"/>
      <c r="AA42" s="1209"/>
      <c r="AB42" s="1207"/>
      <c r="AC42" s="1208"/>
      <c r="AD42" s="1208"/>
      <c r="AE42" s="1208"/>
      <c r="AF42" s="1208"/>
      <c r="AG42" s="1208"/>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c r="BC42" s="1208"/>
      <c r="BD42" s="1208"/>
      <c r="BE42" s="1208"/>
      <c r="BF42" s="1208"/>
      <c r="BG42" s="1208"/>
      <c r="BH42" s="1208"/>
      <c r="BI42" s="1208"/>
      <c r="BJ42" s="1208"/>
      <c r="BK42" s="1208"/>
      <c r="BL42" s="1208"/>
      <c r="BM42" s="1208"/>
      <c r="BN42" s="1208"/>
      <c r="BO42" s="1208"/>
      <c r="BP42" s="1208"/>
      <c r="BQ42" s="1208"/>
      <c r="BR42" s="1208"/>
      <c r="BS42" s="1208"/>
      <c r="BT42" s="1208"/>
      <c r="BU42" s="1208"/>
      <c r="BV42" s="1208"/>
      <c r="BW42" s="1208"/>
      <c r="BX42" s="1208"/>
      <c r="BY42" s="1208"/>
      <c r="BZ42" s="1208"/>
      <c r="CA42" s="1208"/>
      <c r="CB42" s="1208"/>
      <c r="CC42" s="1208"/>
      <c r="CD42" s="1208"/>
      <c r="CE42" s="1208"/>
      <c r="CF42" s="1208"/>
      <c r="CG42" s="1208"/>
      <c r="CH42" s="1208"/>
      <c r="CI42" s="1208"/>
      <c r="CJ42" s="1208"/>
      <c r="CK42" s="1208"/>
      <c r="CL42" s="1210"/>
      <c r="CM42" s="1210"/>
      <c r="CN42" s="1210"/>
      <c r="CO42" s="1210"/>
      <c r="CP42" s="1210"/>
      <c r="CQ42" s="1210"/>
      <c r="CR42" s="1210"/>
      <c r="CS42" s="1210"/>
      <c r="CT42" s="1210"/>
      <c r="CU42" s="1210"/>
      <c r="CV42" s="1210"/>
      <c r="CW42" s="1210"/>
      <c r="CX42" s="1210"/>
      <c r="CY42" s="1210"/>
      <c r="CZ42" s="1210"/>
      <c r="DA42" s="1210"/>
      <c r="DB42" s="1210"/>
      <c r="DC42" s="1210"/>
      <c r="DD42" s="1210"/>
      <c r="DE42" s="1210"/>
      <c r="DF42" s="1210"/>
      <c r="DG42" s="1210"/>
      <c r="DH42" s="1210"/>
      <c r="DI42" s="1210"/>
      <c r="DJ42" s="1210"/>
      <c r="DK42" s="1210"/>
      <c r="DL42" s="1210"/>
      <c r="DM42" s="1210"/>
      <c r="DN42" s="1210"/>
      <c r="DO42" s="1210"/>
      <c r="DP42" s="1210"/>
      <c r="DQ42" s="1210"/>
      <c r="DR42" s="1210"/>
      <c r="DS42" s="1210"/>
      <c r="DT42" s="1210"/>
      <c r="DU42" s="1210"/>
      <c r="DV42" s="1210"/>
      <c r="DW42" s="1210"/>
      <c r="DX42" s="1210"/>
      <c r="DY42" s="1210"/>
      <c r="DZ42" s="1210"/>
      <c r="EA42" s="1210"/>
      <c r="EB42" s="1210"/>
      <c r="EC42" s="1210"/>
      <c r="ED42" s="1210"/>
      <c r="EE42" s="1210"/>
      <c r="EF42" s="1210"/>
      <c r="EG42" s="1210"/>
      <c r="EH42" s="1210"/>
      <c r="EI42" s="1210"/>
      <c r="EJ42" s="1210"/>
      <c r="EK42" s="1210"/>
      <c r="EL42" s="1210"/>
      <c r="EM42" s="1210"/>
      <c r="EN42" s="1210"/>
      <c r="EO42" s="1210"/>
      <c r="EP42" s="1210"/>
      <c r="EQ42" s="1210"/>
      <c r="ER42" s="1210"/>
      <c r="ES42" s="1210"/>
      <c r="ET42" s="1210"/>
      <c r="EU42" s="1210"/>
      <c r="EV42" s="1210"/>
      <c r="EW42" s="1210"/>
      <c r="EX42" s="1210"/>
      <c r="EY42" s="1210"/>
      <c r="EZ42" s="1210"/>
      <c r="FA42" s="1210"/>
      <c r="FB42" s="1210"/>
      <c r="FC42" s="1210"/>
      <c r="FD42" s="1210"/>
      <c r="FE42" s="1210"/>
      <c r="FF42" s="1210"/>
      <c r="FG42" s="1210"/>
      <c r="FH42" s="1210"/>
      <c r="FI42" s="1210"/>
      <c r="FJ42" s="1210"/>
      <c r="FK42" s="1210"/>
      <c r="FL42" s="1210"/>
      <c r="FM42" s="1210"/>
      <c r="FN42" s="1210"/>
      <c r="FO42" s="1210"/>
      <c r="FP42" s="1210"/>
      <c r="FQ42" s="1210"/>
      <c r="FR42" s="1210"/>
      <c r="FS42" s="1210"/>
      <c r="FT42" s="1210"/>
      <c r="FU42" s="1210"/>
      <c r="FV42" s="1211"/>
      <c r="FW42" s="1205"/>
      <c r="FX42" s="1206"/>
      <c r="FY42" s="929"/>
      <c r="FZ42" s="929"/>
      <c r="GA42" s="929"/>
      <c r="GB42" s="929"/>
    </row>
    <row s="929" customFormat="1" customHeight="1" ht="24.75">
      <c r="A43" s="929" t="s">
        <v>1253</v>
      </c>
      <c r="B43" s="944"/>
      <c r="C43" s="929"/>
      <c r="D43" s="929"/>
      <c r="E43" s="1851"/>
      <c r="F43" s="2406">
        <v>1</v>
      </c>
      <c r="G43" s="2579" t="s">
        <v>1186</v>
      </c>
      <c r="H43" s="1214" t="s">
        <v>1445</v>
      </c>
      <c r="I43" s="1983" t="s">
        <v>1446</v>
      </c>
      <c r="J43" s="1215"/>
      <c r="K43" s="1215"/>
      <c r="L43" s="1215"/>
      <c r="M43" s="1215"/>
      <c r="N43" s="1215"/>
      <c r="O43" s="1216"/>
      <c r="P43" s="1216"/>
      <c r="Q43" s="1216"/>
      <c r="R43" s="1216"/>
      <c r="S43" s="1216"/>
      <c r="T43" s="1216"/>
      <c r="U43" s="1216"/>
      <c r="V43" s="1216"/>
      <c r="W43" s="1216"/>
      <c r="X43" s="1216"/>
      <c r="Y43" s="1216"/>
      <c r="Z43" s="1216"/>
      <c r="AA43" s="1216"/>
      <c r="AB43" s="1216"/>
      <c r="AC43" s="1215"/>
      <c r="AD43" s="1215"/>
      <c r="AE43" s="1215"/>
      <c r="AF43" s="1215"/>
      <c r="AG43" s="1215"/>
      <c r="AH43" s="1215"/>
      <c r="AI43" s="1215"/>
      <c r="AJ43" s="1215"/>
      <c r="AK43" s="1215"/>
      <c r="AL43" s="1215"/>
      <c r="AM43" s="1215"/>
      <c r="AN43" s="1215"/>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6">
        <v>0</v>
      </c>
      <c r="BU43" s="1216">
        <v>0</v>
      </c>
      <c r="BV43" s="1216">
        <v>0</v>
      </c>
      <c r="BW43" s="1216">
        <v>0</v>
      </c>
      <c r="BX43" s="1216">
        <v>18.62</v>
      </c>
      <c r="BY43" s="1216">
        <v>55.48</v>
      </c>
      <c r="BZ43" s="1216">
        <v>0</v>
      </c>
      <c r="CA43" s="1216">
        <v>0</v>
      </c>
      <c r="CB43" s="1216">
        <v>0</v>
      </c>
      <c r="CC43" s="1216">
        <v>0</v>
      </c>
      <c r="CD43" s="1216"/>
      <c r="CE43" s="1216"/>
      <c r="CF43" s="1216"/>
      <c r="CG43" s="1216"/>
      <c r="CH43" s="1216"/>
      <c r="CI43" s="1216"/>
      <c r="CJ43" s="1216"/>
      <c r="CK43" s="1216"/>
      <c r="CL43" s="1215"/>
      <c r="CM43" s="1215"/>
      <c r="CN43" s="1215"/>
      <c r="CO43" s="1215"/>
      <c r="CP43" s="1215"/>
      <c r="CQ43" s="1215"/>
      <c r="CR43" s="1215"/>
      <c r="CS43" s="1215"/>
      <c r="CT43" s="1215"/>
      <c r="CU43" s="1215"/>
      <c r="CV43" s="1215"/>
      <c r="CW43" s="1215"/>
      <c r="CX43" s="1215"/>
      <c r="CY43" s="1216"/>
      <c r="CZ43" s="1216"/>
      <c r="DA43" s="1216"/>
      <c r="DB43" s="1216"/>
      <c r="DC43" s="1216"/>
      <c r="DD43" s="1216"/>
      <c r="DE43" s="1216"/>
      <c r="DF43" s="1216"/>
      <c r="DG43" s="1216"/>
      <c r="DH43" s="1216"/>
      <c r="DI43" s="1216"/>
      <c r="DJ43" s="1216"/>
      <c r="DK43" s="1215"/>
      <c r="DL43" s="1215"/>
      <c r="DM43" s="1215"/>
      <c r="DN43" s="1215"/>
      <c r="DO43" s="1215"/>
      <c r="DP43" s="1215"/>
      <c r="DQ43" s="1215"/>
      <c r="DR43" s="1215"/>
      <c r="DS43" s="1215"/>
      <c r="DT43" s="1215"/>
      <c r="DU43" s="1215"/>
      <c r="DV43" s="1215"/>
      <c r="DW43" s="1215"/>
      <c r="DX43" s="1215"/>
      <c r="DY43" s="1215"/>
      <c r="DZ43" s="1215"/>
      <c r="EA43" s="1215"/>
      <c r="EB43" s="1215"/>
      <c r="EC43" s="1215"/>
      <c r="ED43" s="1215"/>
      <c r="EE43" s="1215"/>
      <c r="EF43" s="1215"/>
      <c r="EG43" s="1215"/>
      <c r="EH43" s="1215"/>
      <c r="EI43" s="1215"/>
      <c r="EJ43" s="1215"/>
      <c r="EK43" s="1215"/>
      <c r="EL43" s="1215"/>
      <c r="EM43" s="1215"/>
      <c r="EN43" s="1215"/>
      <c r="EO43" s="1215"/>
      <c r="EP43" s="1215"/>
      <c r="EQ43" s="1215"/>
      <c r="ER43" s="1215"/>
      <c r="ES43" s="1215"/>
      <c r="ET43" s="1215"/>
      <c r="EU43" s="1215"/>
      <c r="EV43" s="1215"/>
      <c r="EW43" s="1215"/>
      <c r="EX43" s="1215"/>
      <c r="EY43" s="1215"/>
      <c r="EZ43" s="1215"/>
      <c r="FA43" s="1215"/>
      <c r="FB43" s="1215"/>
      <c r="FC43" s="1215"/>
      <c r="FD43" s="1215"/>
      <c r="FE43" s="1215"/>
      <c r="FF43" s="1215"/>
      <c r="FG43" s="1215"/>
      <c r="FH43" s="1215"/>
      <c r="FI43" s="1215"/>
      <c r="FJ43" s="1215"/>
      <c r="FK43" s="1215"/>
      <c r="FL43" s="1215"/>
      <c r="FM43" s="1215"/>
      <c r="FN43" s="1215"/>
      <c r="FO43" s="1215"/>
      <c r="FP43" s="1215"/>
      <c r="FQ43" s="1215"/>
      <c r="FR43" s="1215"/>
      <c r="FS43" s="1215"/>
      <c r="FT43" s="1215"/>
      <c r="FU43" s="1215"/>
      <c r="FV43" s="1215"/>
      <c r="FW43" s="1215"/>
      <c r="FX43" s="1206"/>
      <c r="FY43" s="929"/>
      <c r="FZ43" s="929"/>
      <c r="GA43" s="929"/>
      <c r="GB43" s="929"/>
    </row>
    <row s="929" customFormat="1" customHeight="1" ht="12">
      <c r="A44" s="929" t="s">
        <v>1253</v>
      </c>
      <c r="B44" s="944"/>
      <c r="C44" s="929"/>
      <c r="D44" s="929"/>
      <c r="E44" s="929"/>
      <c r="F44" s="4572"/>
      <c r="G44" s="4573" t="s">
        <v>1447</v>
      </c>
      <c r="H44" s="4574"/>
      <c r="I44" s="4575"/>
      <c r="J44" s="4576"/>
      <c r="K44" s="4577"/>
      <c r="L44" s="4578"/>
      <c r="M44" s="4579"/>
      <c r="N44" s="4580"/>
      <c r="O44" s="4581"/>
      <c r="P44" s="4582"/>
      <c r="Q44" s="4583"/>
      <c r="R44" s="4584"/>
      <c r="S44" s="4585"/>
      <c r="T44" s="4586"/>
      <c r="U44" s="4587"/>
      <c r="V44" s="4588"/>
      <c r="W44" s="4589"/>
      <c r="X44" s="4590"/>
      <c r="Y44" s="4591"/>
      <c r="Z44" s="4592"/>
      <c r="AA44" s="4593"/>
      <c r="AB44" s="4594"/>
      <c r="AC44" s="4595"/>
      <c r="AD44" s="4596"/>
      <c r="AE44" s="4597"/>
      <c r="AF44" s="4598"/>
      <c r="AG44" s="4599"/>
      <c r="AH44" s="4600"/>
      <c r="AI44" s="4601"/>
      <c r="AJ44" s="4602"/>
      <c r="AK44" s="4603"/>
      <c r="AL44" s="4604"/>
      <c r="AM44" s="4605"/>
      <c r="AN44" s="4606"/>
      <c r="AO44" s="4607"/>
      <c r="AP44" s="4608"/>
      <c r="AQ44" s="4609"/>
      <c r="AR44" s="4610"/>
      <c r="AS44" s="4611"/>
      <c r="AT44" s="4612"/>
      <c r="AU44" s="4613"/>
      <c r="AV44" s="4614"/>
      <c r="AW44" s="4615"/>
      <c r="AX44" s="4616"/>
      <c r="AY44" s="4617"/>
      <c r="AZ44" s="4618"/>
      <c r="BA44" s="4619"/>
      <c r="BB44" s="4620"/>
      <c r="BC44" s="4621"/>
      <c r="BD44" s="4622"/>
      <c r="BE44" s="4623"/>
      <c r="BF44" s="4624"/>
      <c r="BG44" s="4625"/>
      <c r="BH44" s="4626"/>
      <c r="BI44" s="4627"/>
      <c r="BJ44" s="4628"/>
      <c r="BK44" s="4629"/>
      <c r="BL44" s="4630"/>
      <c r="BM44" s="4631"/>
      <c r="BN44" s="4632"/>
      <c r="BO44" s="4633"/>
      <c r="BP44" s="4634"/>
      <c r="BQ44" s="4635"/>
      <c r="BR44" s="4636"/>
      <c r="BS44" s="4637"/>
      <c r="BT44" s="4638"/>
      <c r="BU44" s="4639"/>
      <c r="BV44" s="4640"/>
      <c r="BW44" s="4641"/>
      <c r="BX44" s="4642"/>
      <c r="BY44" s="4643"/>
      <c r="BZ44" s="4644"/>
      <c r="CA44" s="4645"/>
      <c r="CB44" s="4646"/>
      <c r="CC44" s="4647"/>
      <c r="CD44" s="4648"/>
      <c r="CE44" s="4649"/>
      <c r="CF44" s="4650"/>
      <c r="CG44" s="4651"/>
      <c r="CH44" s="4652"/>
      <c r="CI44" s="4653"/>
      <c r="CJ44" s="4654"/>
      <c r="CK44" s="4655"/>
      <c r="CL44" s="4656"/>
      <c r="CM44" s="4657"/>
      <c r="CN44" s="4658"/>
      <c r="CO44" s="4659"/>
      <c r="CP44" s="4660"/>
      <c r="CQ44" s="4661"/>
      <c r="CR44" s="4662"/>
      <c r="CS44" s="4663"/>
      <c r="CT44" s="4664"/>
      <c r="CU44" s="4665"/>
      <c r="CV44" s="4666"/>
      <c r="CW44" s="4667"/>
      <c r="CX44" s="4668"/>
      <c r="CY44" s="4669"/>
      <c r="CZ44" s="4670"/>
      <c r="DA44" s="4671"/>
      <c r="DB44" s="4672"/>
      <c r="DC44" s="4673"/>
      <c r="DD44" s="4674"/>
      <c r="DE44" s="4675"/>
      <c r="DF44" s="4676"/>
      <c r="DG44" s="4677"/>
      <c r="DH44" s="4678"/>
      <c r="DI44" s="4679"/>
      <c r="DJ44" s="4680"/>
      <c r="DK44" s="4681"/>
      <c r="DL44" s="4682"/>
      <c r="DM44" s="4683"/>
      <c r="DN44" s="4684"/>
      <c r="DO44" s="4685"/>
      <c r="DP44" s="4686"/>
      <c r="DQ44" s="4687"/>
      <c r="DR44" s="4688"/>
      <c r="DS44" s="4689"/>
      <c r="DT44" s="4690"/>
      <c r="DU44" s="4691"/>
      <c r="DV44" s="4692"/>
      <c r="DW44" s="4693"/>
      <c r="DX44" s="4694"/>
      <c r="DY44" s="4695"/>
      <c r="DZ44" s="4696"/>
      <c r="EA44" s="4697"/>
      <c r="EB44" s="4698"/>
      <c r="EC44" s="4699"/>
      <c r="ED44" s="4700"/>
      <c r="EE44" s="4701"/>
      <c r="EF44" s="4702"/>
      <c r="EG44" s="4703"/>
      <c r="EH44" s="4704"/>
      <c r="EI44" s="4705"/>
      <c r="EJ44" s="4706"/>
      <c r="EK44" s="4707"/>
      <c r="EL44" s="4708"/>
      <c r="EM44" s="4709"/>
      <c r="EN44" s="4710"/>
      <c r="EO44" s="4711"/>
      <c r="EP44" s="4712"/>
      <c r="EQ44" s="4713"/>
      <c r="ER44" s="4714"/>
      <c r="ES44" s="4715"/>
      <c r="ET44" s="4716"/>
      <c r="EU44" s="4717"/>
      <c r="EV44" s="4718"/>
      <c r="EW44" s="4719"/>
      <c r="EX44" s="4720"/>
      <c r="EY44" s="4721"/>
      <c r="EZ44" s="4722"/>
      <c r="FA44" s="4723"/>
      <c r="FB44" s="4724"/>
      <c r="FC44" s="4725"/>
      <c r="FD44" s="4726"/>
      <c r="FE44" s="4727"/>
      <c r="FF44" s="4728"/>
      <c r="FG44" s="4729"/>
      <c r="FH44" s="4730"/>
      <c r="FI44" s="4731"/>
      <c r="FJ44" s="4732"/>
      <c r="FK44" s="4733"/>
      <c r="FL44" s="4734"/>
      <c r="FM44" s="4735"/>
      <c r="FN44" s="4736"/>
      <c r="FO44" s="4737"/>
      <c r="FP44" s="4738"/>
      <c r="FQ44" s="4739"/>
      <c r="FR44" s="4740"/>
      <c r="FS44" s="4741"/>
      <c r="FT44" s="4742"/>
      <c r="FU44" s="4743"/>
      <c r="FV44" s="4744"/>
      <c r="FW44" s="4745"/>
      <c r="FX44" s="1826"/>
      <c r="FY44" s="1066"/>
      <c r="FZ44" s="1066"/>
      <c r="GA44" s="1066"/>
      <c r="GB44" s="1066"/>
    </row>
    <row s="929" customFormat="1" customHeight="1" ht="21">
      <c r="A45" s="1328" t="s">
        <v>1260</v>
      </c>
      <c r="B45" s="944"/>
      <c r="C45" s="929"/>
      <c r="D45" s="929"/>
      <c r="E45" s="943" t="s">
        <v>22</v>
      </c>
      <c r="F45" s="1125" t="str">
        <f>INDEX(IP_MAIN_LIST_NAME_IP,MATCH(A45,IP_MAIN_LIST_IP_ID,0))&amp;" ("&amp;INDEX(IP_MAIN_START_DATE,MATCH(A45,IP_MAIN_LIST_IP_ID,0))&amp;"-"&amp;INDEX(IP_MAIN_END_DATE,MATCH(A45,IP_MAIN_LIST_IP_ID,0))&amp;")"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5" s="1207"/>
      <c r="H45" s="1208"/>
      <c r="I45" s="1208"/>
      <c r="J45" s="1208"/>
      <c r="K45" s="1208"/>
      <c r="L45" s="1208"/>
      <c r="M45" s="1208"/>
      <c r="N45" s="1208"/>
      <c r="O45" s="1207"/>
      <c r="P45" s="1207"/>
      <c r="Q45" s="1207"/>
      <c r="R45" s="1207"/>
      <c r="S45" s="1207"/>
      <c r="T45" s="1207"/>
      <c r="U45" s="1209"/>
      <c r="V45" s="1209"/>
      <c r="W45" s="1209"/>
      <c r="X45" s="1209"/>
      <c r="Y45" s="1209"/>
      <c r="Z45" s="1209"/>
      <c r="AA45" s="1209"/>
      <c r="AB45" s="1207"/>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8"/>
      <c r="BN45" s="1208"/>
      <c r="BO45" s="1208"/>
      <c r="BP45" s="1208"/>
      <c r="BQ45" s="1208"/>
      <c r="BR45" s="1208"/>
      <c r="BS45" s="1208"/>
      <c r="BT45" s="1208"/>
      <c r="BU45" s="1208"/>
      <c r="BV45" s="1208"/>
      <c r="BW45" s="1208"/>
      <c r="BX45" s="1208"/>
      <c r="BY45" s="1208"/>
      <c r="BZ45" s="1208"/>
      <c r="CA45" s="1208"/>
      <c r="CB45" s="1208"/>
      <c r="CC45" s="1208"/>
      <c r="CD45" s="1208"/>
      <c r="CE45" s="1208"/>
      <c r="CF45" s="1208"/>
      <c r="CG45" s="1208"/>
      <c r="CH45" s="1208"/>
      <c r="CI45" s="1208"/>
      <c r="CJ45" s="1208"/>
      <c r="CK45" s="1208"/>
      <c r="CL45" s="1210"/>
      <c r="CM45" s="1210"/>
      <c r="CN45" s="1210"/>
      <c r="CO45" s="1210"/>
      <c r="CP45" s="1210"/>
      <c r="CQ45" s="1210"/>
      <c r="CR45" s="1210"/>
      <c r="CS45" s="1210"/>
      <c r="CT45" s="1210"/>
      <c r="CU45" s="1210"/>
      <c r="CV45" s="1210"/>
      <c r="CW45" s="1210"/>
      <c r="CX45" s="1210"/>
      <c r="CY45" s="1210"/>
      <c r="CZ45" s="1210"/>
      <c r="DA45" s="1210"/>
      <c r="DB45" s="1210"/>
      <c r="DC45" s="1210"/>
      <c r="DD45" s="1210"/>
      <c r="DE45" s="1210"/>
      <c r="DF45" s="1210"/>
      <c r="DG45" s="1210"/>
      <c r="DH45" s="1210"/>
      <c r="DI45" s="1210"/>
      <c r="DJ45" s="1210"/>
      <c r="DK45" s="1210"/>
      <c r="DL45" s="1210"/>
      <c r="DM45" s="1210"/>
      <c r="DN45" s="1210"/>
      <c r="DO45" s="1210"/>
      <c r="DP45" s="1210"/>
      <c r="DQ45" s="1210"/>
      <c r="DR45" s="1210"/>
      <c r="DS45" s="1210"/>
      <c r="DT45" s="1210"/>
      <c r="DU45" s="1210"/>
      <c r="DV45" s="1210"/>
      <c r="DW45" s="1210"/>
      <c r="DX45" s="1210"/>
      <c r="DY45" s="1210"/>
      <c r="DZ45" s="1210"/>
      <c r="EA45" s="1210"/>
      <c r="EB45" s="1210"/>
      <c r="EC45" s="1210"/>
      <c r="ED45" s="1210"/>
      <c r="EE45" s="1210"/>
      <c r="EF45" s="1210"/>
      <c r="EG45" s="1210"/>
      <c r="EH45" s="1210"/>
      <c r="EI45" s="1210"/>
      <c r="EJ45" s="1210"/>
      <c r="EK45" s="1210"/>
      <c r="EL45" s="1210"/>
      <c r="EM45" s="1210"/>
      <c r="EN45" s="1210"/>
      <c r="EO45" s="1210"/>
      <c r="EP45" s="1210"/>
      <c r="EQ45" s="1210"/>
      <c r="ER45" s="1210"/>
      <c r="ES45" s="1210"/>
      <c r="ET45" s="1210"/>
      <c r="EU45" s="1210"/>
      <c r="EV45" s="1210"/>
      <c r="EW45" s="1210"/>
      <c r="EX45" s="1210"/>
      <c r="EY45" s="1210"/>
      <c r="EZ45" s="1210"/>
      <c r="FA45" s="1210"/>
      <c r="FB45" s="1210"/>
      <c r="FC45" s="1210"/>
      <c r="FD45" s="1210"/>
      <c r="FE45" s="1210"/>
      <c r="FF45" s="1210"/>
      <c r="FG45" s="1210"/>
      <c r="FH45" s="1210"/>
      <c r="FI45" s="1210"/>
      <c r="FJ45" s="1210"/>
      <c r="FK45" s="1210"/>
      <c r="FL45" s="1210"/>
      <c r="FM45" s="1210"/>
      <c r="FN45" s="1210"/>
      <c r="FO45" s="1210"/>
      <c r="FP45" s="1210"/>
      <c r="FQ45" s="1210"/>
      <c r="FR45" s="1210"/>
      <c r="FS45" s="1210"/>
      <c r="FT45" s="1210"/>
      <c r="FU45" s="1210"/>
      <c r="FV45" s="1211"/>
      <c r="FW45" s="1205"/>
      <c r="FX45" s="1206"/>
      <c r="FY45" s="929"/>
      <c r="FZ45" s="929"/>
      <c r="GA45" s="929"/>
      <c r="GB45" s="929"/>
    </row>
    <row s="929" customFormat="1" customHeight="1" ht="24.75">
      <c r="A46" s="929" t="s">
        <v>1260</v>
      </c>
      <c r="B46" s="944"/>
      <c r="C46" s="929"/>
      <c r="D46" s="929"/>
      <c r="E46" s="1851"/>
      <c r="F46" s="2406">
        <v>1</v>
      </c>
      <c r="G46" s="2579" t="s">
        <v>1186</v>
      </c>
      <c r="H46" s="1214" t="s">
        <v>1445</v>
      </c>
      <c r="I46" s="1983" t="s">
        <v>1446</v>
      </c>
      <c r="J46" s="1215"/>
      <c r="K46" s="1215"/>
      <c r="L46" s="1215"/>
      <c r="M46" s="1215"/>
      <c r="N46" s="1215"/>
      <c r="O46" s="1216"/>
      <c r="P46" s="1216"/>
      <c r="Q46" s="1216"/>
      <c r="R46" s="1216"/>
      <c r="S46" s="1216"/>
      <c r="T46" s="1216"/>
      <c r="U46" s="1216"/>
      <c r="V46" s="1216"/>
      <c r="W46" s="1216"/>
      <c r="X46" s="1216"/>
      <c r="Y46" s="1216"/>
      <c r="Z46" s="1216"/>
      <c r="AA46" s="1216"/>
      <c r="AB46" s="1216"/>
      <c r="AC46" s="1215"/>
      <c r="AD46" s="1215"/>
      <c r="AE46" s="1215"/>
      <c r="AF46" s="1215"/>
      <c r="AG46" s="1215"/>
      <c r="AH46" s="1215"/>
      <c r="AI46" s="1215"/>
      <c r="AJ46" s="1215"/>
      <c r="AK46" s="1215"/>
      <c r="AL46" s="1215"/>
      <c r="AM46" s="1215"/>
      <c r="AN46" s="1215"/>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6">
        <v>16.85</v>
      </c>
      <c r="BU46" s="1216">
        <v>16.85</v>
      </c>
      <c r="BV46" s="1216">
        <v>17.62</v>
      </c>
      <c r="BW46" s="1216">
        <v>17.62</v>
      </c>
      <c r="BX46" s="1216">
        <v>32.6</v>
      </c>
      <c r="BY46" s="1216">
        <v>44.2</v>
      </c>
      <c r="BZ46" s="1216">
        <v>0</v>
      </c>
      <c r="CA46" s="1216">
        <v>0</v>
      </c>
      <c r="CB46" s="1216">
        <v>0</v>
      </c>
      <c r="CC46" s="1216">
        <v>0</v>
      </c>
      <c r="CD46" s="1216"/>
      <c r="CE46" s="1216"/>
      <c r="CF46" s="1216"/>
      <c r="CG46" s="1216"/>
      <c r="CH46" s="1216"/>
      <c r="CI46" s="1216"/>
      <c r="CJ46" s="1216"/>
      <c r="CK46" s="1216"/>
      <c r="CL46" s="1215"/>
      <c r="CM46" s="1215"/>
      <c r="CN46" s="1215"/>
      <c r="CO46" s="1215"/>
      <c r="CP46" s="1215"/>
      <c r="CQ46" s="1215"/>
      <c r="CR46" s="1215"/>
      <c r="CS46" s="1215"/>
      <c r="CT46" s="1215"/>
      <c r="CU46" s="1215"/>
      <c r="CV46" s="1215"/>
      <c r="CW46" s="1215"/>
      <c r="CX46" s="1215"/>
      <c r="CY46" s="1216"/>
      <c r="CZ46" s="1216"/>
      <c r="DA46" s="1216"/>
      <c r="DB46" s="1216"/>
      <c r="DC46" s="1216"/>
      <c r="DD46" s="1216"/>
      <c r="DE46" s="1216"/>
      <c r="DF46" s="1216"/>
      <c r="DG46" s="1216"/>
      <c r="DH46" s="1216"/>
      <c r="DI46" s="1216"/>
      <c r="DJ46" s="1216"/>
      <c r="DK46" s="1215"/>
      <c r="DL46" s="1215"/>
      <c r="DM46" s="1215"/>
      <c r="DN46" s="1215"/>
      <c r="DO46" s="1215"/>
      <c r="DP46" s="1215"/>
      <c r="DQ46" s="1215"/>
      <c r="DR46" s="1215"/>
      <c r="DS46" s="1215"/>
      <c r="DT46" s="1215"/>
      <c r="DU46" s="1215"/>
      <c r="DV46" s="1215"/>
      <c r="DW46" s="1215"/>
      <c r="DX46" s="1215"/>
      <c r="DY46" s="1215"/>
      <c r="DZ46" s="1215"/>
      <c r="EA46" s="1215"/>
      <c r="EB46" s="1215"/>
      <c r="EC46" s="1215"/>
      <c r="ED46" s="1215"/>
      <c r="EE46" s="1215"/>
      <c r="EF46" s="1215"/>
      <c r="EG46" s="1215"/>
      <c r="EH46" s="1215"/>
      <c r="EI46" s="1215"/>
      <c r="EJ46" s="1215"/>
      <c r="EK46" s="1215"/>
      <c r="EL46" s="1215"/>
      <c r="EM46" s="1215"/>
      <c r="EN46" s="1215"/>
      <c r="EO46" s="1215"/>
      <c r="EP46" s="1215"/>
      <c r="EQ46" s="1215"/>
      <c r="ER46" s="1215"/>
      <c r="ES46" s="1215"/>
      <c r="ET46" s="1215"/>
      <c r="EU46" s="1215"/>
      <c r="EV46" s="1215"/>
      <c r="EW46" s="1215"/>
      <c r="EX46" s="1215"/>
      <c r="EY46" s="1215"/>
      <c r="EZ46" s="1215"/>
      <c r="FA46" s="1215"/>
      <c r="FB46" s="1215"/>
      <c r="FC46" s="1215"/>
      <c r="FD46" s="1215"/>
      <c r="FE46" s="1215"/>
      <c r="FF46" s="1215"/>
      <c r="FG46" s="1215"/>
      <c r="FH46" s="1215"/>
      <c r="FI46" s="1215"/>
      <c r="FJ46" s="1215"/>
      <c r="FK46" s="1215"/>
      <c r="FL46" s="1215"/>
      <c r="FM46" s="1215"/>
      <c r="FN46" s="1215"/>
      <c r="FO46" s="1215"/>
      <c r="FP46" s="1215"/>
      <c r="FQ46" s="1215"/>
      <c r="FR46" s="1215"/>
      <c r="FS46" s="1215"/>
      <c r="FT46" s="1215"/>
      <c r="FU46" s="1215"/>
      <c r="FV46" s="1215"/>
      <c r="FW46" s="1215"/>
      <c r="FX46" s="1206"/>
      <c r="FY46" s="929"/>
      <c r="FZ46" s="929"/>
      <c r="GA46" s="929"/>
      <c r="GB46" s="929"/>
    </row>
    <row s="929" customFormat="1" customHeight="1" ht="12">
      <c r="A47" s="929" t="s">
        <v>1260</v>
      </c>
      <c r="B47" s="944"/>
      <c r="C47" s="929"/>
      <c r="D47" s="929"/>
      <c r="E47" s="929"/>
      <c r="F47" s="4746"/>
      <c r="G47" s="4747" t="s">
        <v>1447</v>
      </c>
      <c r="H47" s="4748"/>
      <c r="I47" s="4749"/>
      <c r="J47" s="4750"/>
      <c r="K47" s="4751"/>
      <c r="L47" s="4752"/>
      <c r="M47" s="4753"/>
      <c r="N47" s="4754"/>
      <c r="O47" s="4755"/>
      <c r="P47" s="4756"/>
      <c r="Q47" s="4757"/>
      <c r="R47" s="4758"/>
      <c r="S47" s="4759"/>
      <c r="T47" s="4760"/>
      <c r="U47" s="4761"/>
      <c r="V47" s="4762"/>
      <c r="W47" s="4763"/>
      <c r="X47" s="4764"/>
      <c r="Y47" s="4765"/>
      <c r="Z47" s="4766"/>
      <c r="AA47" s="4767"/>
      <c r="AB47" s="4768"/>
      <c r="AC47" s="4769"/>
      <c r="AD47" s="4770"/>
      <c r="AE47" s="4771"/>
      <c r="AF47" s="4772"/>
      <c r="AG47" s="4773"/>
      <c r="AH47" s="4774"/>
      <c r="AI47" s="4775"/>
      <c r="AJ47" s="4776"/>
      <c r="AK47" s="4777"/>
      <c r="AL47" s="4778"/>
      <c r="AM47" s="4779"/>
      <c r="AN47" s="4780"/>
      <c r="AO47" s="4781"/>
      <c r="AP47" s="4782"/>
      <c r="AQ47" s="4783"/>
      <c r="AR47" s="4784"/>
      <c r="AS47" s="4785"/>
      <c r="AT47" s="4786"/>
      <c r="AU47" s="4787"/>
      <c r="AV47" s="4788"/>
      <c r="AW47" s="4789"/>
      <c r="AX47" s="4790"/>
      <c r="AY47" s="4791"/>
      <c r="AZ47" s="4792"/>
      <c r="BA47" s="4793"/>
      <c r="BB47" s="4794"/>
      <c r="BC47" s="4795"/>
      <c r="BD47" s="4796"/>
      <c r="BE47" s="4797"/>
      <c r="BF47" s="4798"/>
      <c r="BG47" s="4799"/>
      <c r="BH47" s="4800"/>
      <c r="BI47" s="4801"/>
      <c r="BJ47" s="4802"/>
      <c r="BK47" s="4803"/>
      <c r="BL47" s="4804"/>
      <c r="BM47" s="4805"/>
      <c r="BN47" s="4806"/>
      <c r="BO47" s="4807"/>
      <c r="BP47" s="4808"/>
      <c r="BQ47" s="4809"/>
      <c r="BR47" s="4810"/>
      <c r="BS47" s="4811"/>
      <c r="BT47" s="4812"/>
      <c r="BU47" s="4813"/>
      <c r="BV47" s="4814"/>
      <c r="BW47" s="4815"/>
      <c r="BX47" s="4816"/>
      <c r="BY47" s="4817"/>
      <c r="BZ47" s="4818"/>
      <c r="CA47" s="4819"/>
      <c r="CB47" s="4820"/>
      <c r="CC47" s="4821"/>
      <c r="CD47" s="4822"/>
      <c r="CE47" s="4823"/>
      <c r="CF47" s="4824"/>
      <c r="CG47" s="4825"/>
      <c r="CH47" s="4826"/>
      <c r="CI47" s="4827"/>
      <c r="CJ47" s="4828"/>
      <c r="CK47" s="4829"/>
      <c r="CL47" s="4830"/>
      <c r="CM47" s="4831"/>
      <c r="CN47" s="4832"/>
      <c r="CO47" s="4833"/>
      <c r="CP47" s="4834"/>
      <c r="CQ47" s="4835"/>
      <c r="CR47" s="4836"/>
      <c r="CS47" s="4837"/>
      <c r="CT47" s="4838"/>
      <c r="CU47" s="4839"/>
      <c r="CV47" s="4840"/>
      <c r="CW47" s="4841"/>
      <c r="CX47" s="4842"/>
      <c r="CY47" s="4843"/>
      <c r="CZ47" s="4844"/>
      <c r="DA47" s="4845"/>
      <c r="DB47" s="4846"/>
      <c r="DC47" s="4847"/>
      <c r="DD47" s="4848"/>
      <c r="DE47" s="4849"/>
      <c r="DF47" s="4850"/>
      <c r="DG47" s="4851"/>
      <c r="DH47" s="4852"/>
      <c r="DI47" s="4853"/>
      <c r="DJ47" s="4854"/>
      <c r="DK47" s="4855"/>
      <c r="DL47" s="4856"/>
      <c r="DM47" s="4857"/>
      <c r="DN47" s="4858"/>
      <c r="DO47" s="4859"/>
      <c r="DP47" s="4860"/>
      <c r="DQ47" s="4861"/>
      <c r="DR47" s="4862"/>
      <c r="DS47" s="4863"/>
      <c r="DT47" s="4864"/>
      <c r="DU47" s="4865"/>
      <c r="DV47" s="4866"/>
      <c r="DW47" s="4867"/>
      <c r="DX47" s="4868"/>
      <c r="DY47" s="4869"/>
      <c r="DZ47" s="4870"/>
      <c r="EA47" s="4871"/>
      <c r="EB47" s="4872"/>
      <c r="EC47" s="4873"/>
      <c r="ED47" s="4874"/>
      <c r="EE47" s="4875"/>
      <c r="EF47" s="4876"/>
      <c r="EG47" s="4877"/>
      <c r="EH47" s="4878"/>
      <c r="EI47" s="4879"/>
      <c r="EJ47" s="4880"/>
      <c r="EK47" s="4881"/>
      <c r="EL47" s="4882"/>
      <c r="EM47" s="4883"/>
      <c r="EN47" s="4884"/>
      <c r="EO47" s="4885"/>
      <c r="EP47" s="4886"/>
      <c r="EQ47" s="4887"/>
      <c r="ER47" s="4888"/>
      <c r="ES47" s="4889"/>
      <c r="ET47" s="4890"/>
      <c r="EU47" s="4891"/>
      <c r="EV47" s="4892"/>
      <c r="EW47" s="4893"/>
      <c r="EX47" s="4894"/>
      <c r="EY47" s="4895"/>
      <c r="EZ47" s="4896"/>
      <c r="FA47" s="4897"/>
      <c r="FB47" s="4898"/>
      <c r="FC47" s="4899"/>
      <c r="FD47" s="4900"/>
      <c r="FE47" s="4901"/>
      <c r="FF47" s="4902"/>
      <c r="FG47" s="4903"/>
      <c r="FH47" s="4904"/>
      <c r="FI47" s="4905"/>
      <c r="FJ47" s="4906"/>
      <c r="FK47" s="4907"/>
      <c r="FL47" s="4908"/>
      <c r="FM47" s="4909"/>
      <c r="FN47" s="4910"/>
      <c r="FO47" s="4911"/>
      <c r="FP47" s="4912"/>
      <c r="FQ47" s="4913"/>
      <c r="FR47" s="4914"/>
      <c r="FS47" s="4915"/>
      <c r="FT47" s="4916"/>
      <c r="FU47" s="4917"/>
      <c r="FV47" s="4918"/>
      <c r="FW47" s="4919"/>
      <c r="FX47" s="1826"/>
      <c r="FY47" s="1066"/>
      <c r="FZ47" s="1066"/>
      <c r="GA47" s="1066"/>
      <c r="GB47" s="1066"/>
    </row>
    <row s="929" customFormat="1" customHeight="1" ht="21">
      <c r="A48" s="1328" t="s">
        <v>1269</v>
      </c>
      <c r="B48" s="944"/>
      <c r="C48" s="929"/>
      <c r="D48" s="929"/>
      <c r="E48" s="943" t="s">
        <v>22</v>
      </c>
      <c r="F48" s="1125" t="str">
        <f>INDEX(IP_MAIN_LIST_NAME_IP,MATCH(A48,IP_MAIN_LIST_IP_ID,0))&amp;" ("&amp;INDEX(IP_MAIN_START_DATE,MATCH(A48,IP_MAIN_LIST_IP_ID,0))&amp;"-"&amp;INDEX(IP_MAIN_END_DATE,MATCH(A48,IP_MAIN_LIST_IP_ID,0))&amp;")"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48" s="1207"/>
      <c r="H48" s="1208"/>
      <c r="I48" s="1208"/>
      <c r="J48" s="1208"/>
      <c r="K48" s="1208"/>
      <c r="L48" s="1208"/>
      <c r="M48" s="1208"/>
      <c r="N48" s="1208"/>
      <c r="O48" s="1207"/>
      <c r="P48" s="1207"/>
      <c r="Q48" s="1207"/>
      <c r="R48" s="1207"/>
      <c r="S48" s="1207"/>
      <c r="T48" s="1207"/>
      <c r="U48" s="1209"/>
      <c r="V48" s="1209"/>
      <c r="W48" s="1209"/>
      <c r="X48" s="1209"/>
      <c r="Y48" s="1209"/>
      <c r="Z48" s="1209"/>
      <c r="AA48" s="1209"/>
      <c r="AB48" s="1207"/>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8"/>
      <c r="BF48" s="1208"/>
      <c r="BG48" s="1208"/>
      <c r="BH48" s="1208"/>
      <c r="BI48" s="1208"/>
      <c r="BJ48" s="1208"/>
      <c r="BK48" s="1208"/>
      <c r="BL48" s="1208"/>
      <c r="BM48" s="1208"/>
      <c r="BN48" s="1208"/>
      <c r="BO48" s="1208"/>
      <c r="BP48" s="1208"/>
      <c r="BQ48" s="1208"/>
      <c r="BR48" s="1208"/>
      <c r="BS48" s="1208"/>
      <c r="BT48" s="1208"/>
      <c r="BU48" s="1208"/>
      <c r="BV48" s="1208"/>
      <c r="BW48" s="1208"/>
      <c r="BX48" s="1208"/>
      <c r="BY48" s="1208"/>
      <c r="BZ48" s="1208"/>
      <c r="CA48" s="1208"/>
      <c r="CB48" s="1208"/>
      <c r="CC48" s="1208"/>
      <c r="CD48" s="1208"/>
      <c r="CE48" s="1208"/>
      <c r="CF48" s="1208"/>
      <c r="CG48" s="1208"/>
      <c r="CH48" s="1208"/>
      <c r="CI48" s="1208"/>
      <c r="CJ48" s="1208"/>
      <c r="CK48" s="1208"/>
      <c r="CL48" s="1210"/>
      <c r="CM48" s="1210"/>
      <c r="CN48" s="1210"/>
      <c r="CO48" s="1210"/>
      <c r="CP48" s="1210"/>
      <c r="CQ48" s="1210"/>
      <c r="CR48" s="1210"/>
      <c r="CS48" s="1210"/>
      <c r="CT48" s="1210"/>
      <c r="CU48" s="1210"/>
      <c r="CV48" s="1210"/>
      <c r="CW48" s="1210"/>
      <c r="CX48" s="1210"/>
      <c r="CY48" s="1210"/>
      <c r="CZ48" s="1210"/>
      <c r="DA48" s="1210"/>
      <c r="DB48" s="1210"/>
      <c r="DC48" s="1210"/>
      <c r="DD48" s="1210"/>
      <c r="DE48" s="1210"/>
      <c r="DF48" s="1210"/>
      <c r="DG48" s="1210"/>
      <c r="DH48" s="1210"/>
      <c r="DI48" s="1210"/>
      <c r="DJ48" s="1210"/>
      <c r="DK48" s="1210"/>
      <c r="DL48" s="1210"/>
      <c r="DM48" s="1210"/>
      <c r="DN48" s="1210"/>
      <c r="DO48" s="1210"/>
      <c r="DP48" s="1210"/>
      <c r="DQ48" s="1210"/>
      <c r="DR48" s="1210"/>
      <c r="DS48" s="1210"/>
      <c r="DT48" s="1210"/>
      <c r="DU48" s="1210"/>
      <c r="DV48" s="1210"/>
      <c r="DW48" s="1210"/>
      <c r="DX48" s="1210"/>
      <c r="DY48" s="1210"/>
      <c r="DZ48" s="1210"/>
      <c r="EA48" s="1210"/>
      <c r="EB48" s="1210"/>
      <c r="EC48" s="1210"/>
      <c r="ED48" s="1210"/>
      <c r="EE48" s="1210"/>
      <c r="EF48" s="1210"/>
      <c r="EG48" s="1210"/>
      <c r="EH48" s="1210"/>
      <c r="EI48" s="1210"/>
      <c r="EJ48" s="1210"/>
      <c r="EK48" s="1210"/>
      <c r="EL48" s="1210"/>
      <c r="EM48" s="1210"/>
      <c r="EN48" s="1210"/>
      <c r="EO48" s="1210"/>
      <c r="EP48" s="1210"/>
      <c r="EQ48" s="1210"/>
      <c r="ER48" s="1210"/>
      <c r="ES48" s="1210"/>
      <c r="ET48" s="1210"/>
      <c r="EU48" s="1210"/>
      <c r="EV48" s="1210"/>
      <c r="EW48" s="1210"/>
      <c r="EX48" s="1210"/>
      <c r="EY48" s="1210"/>
      <c r="EZ48" s="1210"/>
      <c r="FA48" s="1210"/>
      <c r="FB48" s="1210"/>
      <c r="FC48" s="1210"/>
      <c r="FD48" s="1210"/>
      <c r="FE48" s="1210"/>
      <c r="FF48" s="1210"/>
      <c r="FG48" s="1210"/>
      <c r="FH48" s="1210"/>
      <c r="FI48" s="1210"/>
      <c r="FJ48" s="1210"/>
      <c r="FK48" s="1210"/>
      <c r="FL48" s="1210"/>
      <c r="FM48" s="1210"/>
      <c r="FN48" s="1210"/>
      <c r="FO48" s="1210"/>
      <c r="FP48" s="1210"/>
      <c r="FQ48" s="1210"/>
      <c r="FR48" s="1210"/>
      <c r="FS48" s="1210"/>
      <c r="FT48" s="1210"/>
      <c r="FU48" s="1210"/>
      <c r="FV48" s="1211"/>
      <c r="FW48" s="1205"/>
      <c r="FX48" s="1206"/>
      <c r="FY48" s="929"/>
      <c r="FZ48" s="929"/>
      <c r="GA48" s="929"/>
      <c r="GB48" s="929"/>
    </row>
    <row s="929" customFormat="1" customHeight="1" ht="24.75">
      <c r="A49" s="929" t="s">
        <v>1269</v>
      </c>
      <c r="B49" s="944"/>
      <c r="C49" s="929"/>
      <c r="D49" s="929"/>
      <c r="E49" s="1851"/>
      <c r="F49" s="2406">
        <v>1</v>
      </c>
      <c r="G49" s="2579" t="s">
        <v>1186</v>
      </c>
      <c r="H49" s="1214" t="s">
        <v>1445</v>
      </c>
      <c r="I49" s="1983" t="s">
        <v>1446</v>
      </c>
      <c r="J49" s="1215"/>
      <c r="K49" s="1215"/>
      <c r="L49" s="1215"/>
      <c r="M49" s="1215"/>
      <c r="N49" s="1215"/>
      <c r="O49" s="1216"/>
      <c r="P49" s="1216"/>
      <c r="Q49" s="1216"/>
      <c r="R49" s="1216"/>
      <c r="S49" s="1216"/>
      <c r="T49" s="1216"/>
      <c r="U49" s="1216"/>
      <c r="V49" s="1216"/>
      <c r="W49" s="1216"/>
      <c r="X49" s="1216"/>
      <c r="Y49" s="1216"/>
      <c r="Z49" s="1216"/>
      <c r="AA49" s="1216"/>
      <c r="AB49" s="1216"/>
      <c r="AC49" s="1215"/>
      <c r="AD49" s="1215"/>
      <c r="AE49" s="1215"/>
      <c r="AF49" s="1215"/>
      <c r="AG49" s="1215"/>
      <c r="AH49" s="1215"/>
      <c r="AI49" s="1215"/>
      <c r="AJ49" s="1215"/>
      <c r="AK49" s="1215"/>
      <c r="AL49" s="1215"/>
      <c r="AM49" s="1215"/>
      <c r="AN49" s="1215"/>
      <c r="AO49" s="1215"/>
      <c r="AP49" s="1215"/>
      <c r="AQ49" s="1215"/>
      <c r="AR49" s="1215"/>
      <c r="AS49" s="1215"/>
      <c r="AT49" s="1215"/>
      <c r="AU49" s="1215"/>
      <c r="AV49" s="1215"/>
      <c r="AW49" s="1215"/>
      <c r="AX49" s="1215"/>
      <c r="AY49" s="1215"/>
      <c r="AZ49" s="1215"/>
      <c r="BA49" s="1215"/>
      <c r="BB49" s="1215"/>
      <c r="BC49" s="1215"/>
      <c r="BD49" s="1215"/>
      <c r="BE49" s="1215"/>
      <c r="BF49" s="1215"/>
      <c r="BG49" s="1215"/>
      <c r="BH49" s="1215"/>
      <c r="BI49" s="1215"/>
      <c r="BJ49" s="1215"/>
      <c r="BK49" s="1215"/>
      <c r="BL49" s="1215"/>
      <c r="BM49" s="1215"/>
      <c r="BN49" s="1215"/>
      <c r="BO49" s="1215"/>
      <c r="BP49" s="1215"/>
      <c r="BQ49" s="1215"/>
      <c r="BR49" s="1215"/>
      <c r="BS49" s="1215"/>
      <c r="BT49" s="1216">
        <v>0.71</v>
      </c>
      <c r="BU49" s="1216">
        <v>0.71</v>
      </c>
      <c r="BV49" s="1216">
        <v>4.95</v>
      </c>
      <c r="BW49" s="1216">
        <v>4.95</v>
      </c>
      <c r="BX49" s="1216">
        <v>38.9</v>
      </c>
      <c r="BY49" s="1216">
        <v>61.52</v>
      </c>
      <c r="BZ49" s="1216">
        <v>0.12</v>
      </c>
      <c r="CA49" s="1216">
        <v>0.12</v>
      </c>
      <c r="CB49" s="1216">
        <v>1.11</v>
      </c>
      <c r="CC49" s="1216">
        <v>1.14</v>
      </c>
      <c r="CD49" s="1216"/>
      <c r="CE49" s="1216"/>
      <c r="CF49" s="1216"/>
      <c r="CG49" s="1216"/>
      <c r="CH49" s="1216"/>
      <c r="CI49" s="1216"/>
      <c r="CJ49" s="1216"/>
      <c r="CK49" s="1216"/>
      <c r="CL49" s="1215"/>
      <c r="CM49" s="1215"/>
      <c r="CN49" s="1215"/>
      <c r="CO49" s="1215"/>
      <c r="CP49" s="1215"/>
      <c r="CQ49" s="1215"/>
      <c r="CR49" s="1215"/>
      <c r="CS49" s="1215"/>
      <c r="CT49" s="1215"/>
      <c r="CU49" s="1215"/>
      <c r="CV49" s="1215"/>
      <c r="CW49" s="1215"/>
      <c r="CX49" s="1215"/>
      <c r="CY49" s="1216"/>
      <c r="CZ49" s="1216"/>
      <c r="DA49" s="1216"/>
      <c r="DB49" s="1216"/>
      <c r="DC49" s="1216"/>
      <c r="DD49" s="1216"/>
      <c r="DE49" s="1216"/>
      <c r="DF49" s="1216"/>
      <c r="DG49" s="1216"/>
      <c r="DH49" s="1216"/>
      <c r="DI49" s="1216"/>
      <c r="DJ49" s="1216"/>
      <c r="DK49" s="1215"/>
      <c r="DL49" s="1215"/>
      <c r="DM49" s="1215"/>
      <c r="DN49" s="1215"/>
      <c r="DO49" s="1215"/>
      <c r="DP49" s="1215"/>
      <c r="DQ49" s="1215"/>
      <c r="DR49" s="1215"/>
      <c r="DS49" s="1215"/>
      <c r="DT49" s="1215"/>
      <c r="DU49" s="1215"/>
      <c r="DV49" s="1215"/>
      <c r="DW49" s="1215"/>
      <c r="DX49" s="1215"/>
      <c r="DY49" s="1215"/>
      <c r="DZ49" s="1215"/>
      <c r="EA49" s="1215"/>
      <c r="EB49" s="1215"/>
      <c r="EC49" s="1215"/>
      <c r="ED49" s="1215"/>
      <c r="EE49" s="1215"/>
      <c r="EF49" s="1215"/>
      <c r="EG49" s="1215"/>
      <c r="EH49" s="1215"/>
      <c r="EI49" s="1215"/>
      <c r="EJ49" s="1215"/>
      <c r="EK49" s="1215"/>
      <c r="EL49" s="1215"/>
      <c r="EM49" s="1215"/>
      <c r="EN49" s="1215"/>
      <c r="EO49" s="1215"/>
      <c r="EP49" s="1215"/>
      <c r="EQ49" s="1215"/>
      <c r="ER49" s="1215"/>
      <c r="ES49" s="1215"/>
      <c r="ET49" s="1215"/>
      <c r="EU49" s="1215"/>
      <c r="EV49" s="1215"/>
      <c r="EW49" s="1215"/>
      <c r="EX49" s="1215"/>
      <c r="EY49" s="1215"/>
      <c r="EZ49" s="1215"/>
      <c r="FA49" s="1215"/>
      <c r="FB49" s="1215"/>
      <c r="FC49" s="1215"/>
      <c r="FD49" s="1215"/>
      <c r="FE49" s="1215"/>
      <c r="FF49" s="1215"/>
      <c r="FG49" s="1215"/>
      <c r="FH49" s="1215"/>
      <c r="FI49" s="1215"/>
      <c r="FJ49" s="1215"/>
      <c r="FK49" s="1215"/>
      <c r="FL49" s="1215"/>
      <c r="FM49" s="1215"/>
      <c r="FN49" s="1215"/>
      <c r="FO49" s="1215"/>
      <c r="FP49" s="1215"/>
      <c r="FQ49" s="1215"/>
      <c r="FR49" s="1215"/>
      <c r="FS49" s="1215"/>
      <c r="FT49" s="1215"/>
      <c r="FU49" s="1215"/>
      <c r="FV49" s="1215"/>
      <c r="FW49" s="1215"/>
      <c r="FX49" s="1206"/>
      <c r="FY49" s="929"/>
      <c r="FZ49" s="929"/>
      <c r="GA49" s="929"/>
      <c r="GB49" s="929"/>
    </row>
    <row s="929" customFormat="1" customHeight="1" ht="12">
      <c r="A50" s="929" t="s">
        <v>1269</v>
      </c>
      <c r="B50" s="944"/>
      <c r="C50" s="929"/>
      <c r="D50" s="929"/>
      <c r="E50" s="929"/>
      <c r="F50" s="4920"/>
      <c r="G50" s="4921" t="s">
        <v>1447</v>
      </c>
      <c r="H50" s="4922"/>
      <c r="I50" s="4923"/>
      <c r="J50" s="4924"/>
      <c r="K50" s="4925"/>
      <c r="L50" s="4926"/>
      <c r="M50" s="4927"/>
      <c r="N50" s="4928"/>
      <c r="O50" s="4929"/>
      <c r="P50" s="4930"/>
      <c r="Q50" s="4931"/>
      <c r="R50" s="4932"/>
      <c r="S50" s="4933"/>
      <c r="T50" s="4934"/>
      <c r="U50" s="4935"/>
      <c r="V50" s="4936"/>
      <c r="W50" s="4937"/>
      <c r="X50" s="4938"/>
      <c r="Y50" s="4939"/>
      <c r="Z50" s="4940"/>
      <c r="AA50" s="4941"/>
      <c r="AB50" s="4942"/>
      <c r="AC50" s="4943"/>
      <c r="AD50" s="4944"/>
      <c r="AE50" s="4945"/>
      <c r="AF50" s="4946"/>
      <c r="AG50" s="4947"/>
      <c r="AH50" s="4948"/>
      <c r="AI50" s="4949"/>
      <c r="AJ50" s="4950"/>
      <c r="AK50" s="4951"/>
      <c r="AL50" s="4952"/>
      <c r="AM50" s="4953"/>
      <c r="AN50" s="4954"/>
      <c r="AO50" s="4955"/>
      <c r="AP50" s="4956"/>
      <c r="AQ50" s="4957"/>
      <c r="AR50" s="4958"/>
      <c r="AS50" s="4959"/>
      <c r="AT50" s="4960"/>
      <c r="AU50" s="4961"/>
      <c r="AV50" s="4962"/>
      <c r="AW50" s="4963"/>
      <c r="AX50" s="4964"/>
      <c r="AY50" s="4965"/>
      <c r="AZ50" s="4966"/>
      <c r="BA50" s="4967"/>
      <c r="BB50" s="4968"/>
      <c r="BC50" s="4969"/>
      <c r="BD50" s="4970"/>
      <c r="BE50" s="4971"/>
      <c r="BF50" s="4972"/>
      <c r="BG50" s="4973"/>
      <c r="BH50" s="4974"/>
      <c r="BI50" s="4975"/>
      <c r="BJ50" s="4976"/>
      <c r="BK50" s="4977"/>
      <c r="BL50" s="4978"/>
      <c r="BM50" s="4979"/>
      <c r="BN50" s="4980"/>
      <c r="BO50" s="4981"/>
      <c r="BP50" s="4982"/>
      <c r="BQ50" s="4983"/>
      <c r="BR50" s="4984"/>
      <c r="BS50" s="4985"/>
      <c r="BT50" s="4986"/>
      <c r="BU50" s="4987"/>
      <c r="BV50" s="4988"/>
      <c r="BW50" s="4989"/>
      <c r="BX50" s="4990"/>
      <c r="BY50" s="4991"/>
      <c r="BZ50" s="4992"/>
      <c r="CA50" s="4993"/>
      <c r="CB50" s="4994"/>
      <c r="CC50" s="4995"/>
      <c r="CD50" s="4996"/>
      <c r="CE50" s="4997"/>
      <c r="CF50" s="4998"/>
      <c r="CG50" s="4999"/>
      <c r="CH50" s="5000"/>
      <c r="CI50" s="5001"/>
      <c r="CJ50" s="5002"/>
      <c r="CK50" s="5003"/>
      <c r="CL50" s="5004"/>
      <c r="CM50" s="5005"/>
      <c r="CN50" s="5006"/>
      <c r="CO50" s="5007"/>
      <c r="CP50" s="5008"/>
      <c r="CQ50" s="5009"/>
      <c r="CR50" s="5010"/>
      <c r="CS50" s="5011"/>
      <c r="CT50" s="5012"/>
      <c r="CU50" s="5013"/>
      <c r="CV50" s="5014"/>
      <c r="CW50" s="5015"/>
      <c r="CX50" s="5016"/>
      <c r="CY50" s="5017"/>
      <c r="CZ50" s="5018"/>
      <c r="DA50" s="5019"/>
      <c r="DB50" s="5020"/>
      <c r="DC50" s="5021"/>
      <c r="DD50" s="5022"/>
      <c r="DE50" s="5023"/>
      <c r="DF50" s="5024"/>
      <c r="DG50" s="5025"/>
      <c r="DH50" s="5026"/>
      <c r="DI50" s="5027"/>
      <c r="DJ50" s="5028"/>
      <c r="DK50" s="5029"/>
      <c r="DL50" s="5030"/>
      <c r="DM50" s="5031"/>
      <c r="DN50" s="5032"/>
      <c r="DO50" s="5033"/>
      <c r="DP50" s="5034"/>
      <c r="DQ50" s="5035"/>
      <c r="DR50" s="5036"/>
      <c r="DS50" s="5037"/>
      <c r="DT50" s="5038"/>
      <c r="DU50" s="5039"/>
      <c r="DV50" s="5040"/>
      <c r="DW50" s="5041"/>
      <c r="DX50" s="5042"/>
      <c r="DY50" s="5043"/>
      <c r="DZ50" s="5044"/>
      <c r="EA50" s="5045"/>
      <c r="EB50" s="5046"/>
      <c r="EC50" s="5047"/>
      <c r="ED50" s="5048"/>
      <c r="EE50" s="5049"/>
      <c r="EF50" s="5050"/>
      <c r="EG50" s="5051"/>
      <c r="EH50" s="5052"/>
      <c r="EI50" s="5053"/>
      <c r="EJ50" s="5054"/>
      <c r="EK50" s="5055"/>
      <c r="EL50" s="5056"/>
      <c r="EM50" s="5057"/>
      <c r="EN50" s="5058"/>
      <c r="EO50" s="5059"/>
      <c r="EP50" s="5060"/>
      <c r="EQ50" s="5061"/>
      <c r="ER50" s="5062"/>
      <c r="ES50" s="5063"/>
      <c r="ET50" s="5064"/>
      <c r="EU50" s="5065"/>
      <c r="EV50" s="5066"/>
      <c r="EW50" s="5067"/>
      <c r="EX50" s="5068"/>
      <c r="EY50" s="5069"/>
      <c r="EZ50" s="5070"/>
      <c r="FA50" s="5071"/>
      <c r="FB50" s="5072"/>
      <c r="FC50" s="5073"/>
      <c r="FD50" s="5074"/>
      <c r="FE50" s="5075"/>
      <c r="FF50" s="5076"/>
      <c r="FG50" s="5077"/>
      <c r="FH50" s="5078"/>
      <c r="FI50" s="5079"/>
      <c r="FJ50" s="5080"/>
      <c r="FK50" s="5081"/>
      <c r="FL50" s="5082"/>
      <c r="FM50" s="5083"/>
      <c r="FN50" s="5084"/>
      <c r="FO50" s="5085"/>
      <c r="FP50" s="5086"/>
      <c r="FQ50" s="5087"/>
      <c r="FR50" s="5088"/>
      <c r="FS50" s="5089"/>
      <c r="FT50" s="5090"/>
      <c r="FU50" s="5091"/>
      <c r="FV50" s="5092"/>
      <c r="FW50" s="5093"/>
      <c r="FX50" s="1826"/>
      <c r="FY50" s="1066"/>
      <c r="FZ50" s="1066"/>
      <c r="GA50" s="1066"/>
      <c r="GB50" s="1066"/>
    </row>
    <row s="929" customFormat="1" customHeight="1" ht="12.75">
      <c r="A51" s="945"/>
      <c r="B51" s="945"/>
      <c r="C51" s="945"/>
      <c r="D51" s="945"/>
      <c r="E51" s="945"/>
      <c r="F51" s="943"/>
      <c r="G51" s="943"/>
      <c r="H51" s="943"/>
      <c r="I51" s="943"/>
      <c r="J51" s="943"/>
      <c r="K51" s="943"/>
      <c r="L51" s="943"/>
      <c r="M51" s="943"/>
      <c r="N51" s="943"/>
      <c r="O51" s="943"/>
      <c r="P51" s="943"/>
      <c r="Q51" s="943"/>
      <c r="R51" s="943"/>
      <c r="S51" s="946"/>
      <c r="T51" s="946"/>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c r="AS51" s="943"/>
      <c r="AT51" s="943"/>
      <c r="AU51" s="943"/>
      <c r="AV51" s="943"/>
      <c r="AW51" s="943"/>
      <c r="AX51" s="943"/>
      <c r="AY51" s="943"/>
      <c r="AZ51" s="943"/>
      <c r="BA51" s="943"/>
      <c r="BB51" s="943"/>
      <c r="BC51" s="943"/>
      <c r="BD51" s="943"/>
      <c r="BE51" s="943"/>
      <c r="BF51" s="943"/>
      <c r="BG51" s="943"/>
      <c r="BH51" s="943"/>
      <c r="BI51" s="943"/>
      <c r="BJ51" s="943"/>
      <c r="BK51" s="943"/>
      <c r="BL51" s="943"/>
      <c r="BM51" s="943"/>
      <c r="BN51" s="943"/>
      <c r="BO51" s="943"/>
      <c r="BP51" s="943"/>
      <c r="BQ51" s="943"/>
      <c r="BR51" s="943"/>
      <c r="BS51" s="943"/>
      <c r="BT51" s="943"/>
      <c r="BU51" s="943"/>
      <c r="BV51" s="943"/>
      <c r="BW51" s="943"/>
      <c r="BX51" s="943"/>
      <c r="BY51" s="943"/>
      <c r="BZ51" s="943"/>
      <c r="CA51" s="943"/>
      <c r="CB51" s="943"/>
      <c r="CC51" s="943"/>
      <c r="CD51" s="943"/>
      <c r="CE51" s="943"/>
      <c r="CF51" s="943"/>
      <c r="CG51" s="943"/>
      <c r="CH51" s="943"/>
      <c r="CI51" s="943"/>
      <c r="CJ51" s="943"/>
      <c r="CK51" s="943"/>
      <c r="CL51" s="943"/>
      <c r="CM51" s="943"/>
      <c r="CN51" s="943"/>
      <c r="CO51" s="943"/>
      <c r="CP51" s="943"/>
      <c r="CQ51" s="943"/>
      <c r="CR51" s="943"/>
      <c r="CS51" s="943"/>
      <c r="CT51" s="943"/>
      <c r="CU51" s="943"/>
      <c r="CV51" s="943"/>
      <c r="CW51" s="943"/>
      <c r="CX51" s="943"/>
      <c r="CY51" s="943"/>
      <c r="CZ51" s="943"/>
      <c r="DA51" s="943"/>
      <c r="DB51" s="943"/>
      <c r="DC51" s="943"/>
      <c r="DD51" s="943"/>
      <c r="DE51" s="943"/>
      <c r="DF51" s="943"/>
      <c r="DG51" s="943"/>
      <c r="DH51" s="943"/>
      <c r="DI51" s="943"/>
      <c r="DJ51" s="943"/>
      <c r="DK51" s="943"/>
      <c r="DL51" s="943"/>
      <c r="DM51" s="943"/>
      <c r="DN51" s="943"/>
      <c r="DO51" s="943"/>
      <c r="DP51" s="943"/>
      <c r="DQ51" s="943"/>
      <c r="DR51" s="943"/>
      <c r="DS51" s="943"/>
      <c r="DT51" s="943"/>
      <c r="DU51" s="943"/>
      <c r="DV51" s="943"/>
      <c r="DW51" s="943"/>
      <c r="DX51" s="943"/>
      <c r="DY51" s="943"/>
      <c r="DZ51" s="943"/>
      <c r="EA51" s="943"/>
      <c r="EB51" s="943"/>
      <c r="EC51" s="943"/>
      <c r="ED51" s="943"/>
      <c r="EE51" s="943"/>
      <c r="EF51" s="943"/>
      <c r="EG51" s="943"/>
      <c r="EH51" s="943"/>
      <c r="EI51" s="943"/>
      <c r="EJ51" s="943"/>
      <c r="EK51" s="943"/>
      <c r="EL51" s="943"/>
      <c r="EM51" s="943"/>
      <c r="EN51" s="943"/>
      <c r="EO51" s="943"/>
      <c r="EP51" s="943"/>
      <c r="EQ51" s="943"/>
      <c r="ER51" s="943"/>
      <c r="ES51" s="943"/>
      <c r="ET51" s="943"/>
      <c r="EU51" s="943"/>
      <c r="EV51" s="943"/>
      <c r="EW51" s="943"/>
      <c r="EX51" s="943"/>
      <c r="EY51" s="943"/>
      <c r="EZ51" s="943"/>
      <c r="FA51" s="943"/>
      <c r="FB51" s="943"/>
      <c r="FC51" s="943"/>
      <c r="FD51" s="943"/>
      <c r="FE51" s="943"/>
      <c r="FF51" s="943"/>
      <c r="FG51" s="943"/>
      <c r="FH51" s="943"/>
      <c r="FI51" s="943"/>
      <c r="FJ51" s="943"/>
      <c r="FK51" s="943"/>
      <c r="FL51" s="943"/>
      <c r="FM51" s="943"/>
      <c r="FN51" s="943"/>
      <c r="FO51" s="943"/>
      <c r="FP51" s="943"/>
      <c r="FQ51" s="943"/>
      <c r="FR51" s="943"/>
      <c r="FS51" s="943"/>
      <c r="FT51" s="943"/>
      <c r="FU51" s="943"/>
      <c r="FV51" s="943"/>
      <c r="FW51" s="943"/>
      <c r="FX51" s="945"/>
      <c r="FY51" s="945"/>
      <c r="FZ51" s="945"/>
      <c r="GA51" s="945"/>
      <c r="GB51" s="945"/>
      <c r="GC51" s="926">
        <v>12</v>
      </c>
    </row>
    <row s="929" customFormat="1" customHeight="1" ht="12.75">
      <c r="A52" s="945"/>
      <c r="B52" s="945"/>
      <c r="C52" s="945"/>
      <c r="D52" s="945"/>
      <c r="E52" s="945"/>
      <c r="FX52" s="945"/>
      <c r="FY52" s="945"/>
      <c r="FZ52" s="945"/>
      <c r="GA52" s="945"/>
      <c r="GB52" s="945"/>
      <c r="GC52" s="926">
        <v>12</v>
      </c>
    </row>
    <row s="1067" customFormat="1" customHeight="1" ht="12.75">
      <c r="A53" s="1066"/>
      <c r="B53" s="1066"/>
      <c r="C53" s="1066"/>
      <c r="D53" s="1066"/>
      <c r="E53" s="1066"/>
      <c r="O53" s="1068"/>
      <c r="P53" s="1068"/>
      <c r="Q53" s="1068"/>
      <c r="R53" s="1068"/>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68"/>
      <c r="BB53" s="1068"/>
      <c r="BC53" s="1068"/>
      <c r="BD53" s="1068"/>
      <c r="BE53" s="1068"/>
      <c r="BF53" s="1068"/>
      <c r="BG53" s="1068"/>
      <c r="BH53" s="1068"/>
      <c r="BI53" s="1068"/>
      <c r="BJ53" s="1068"/>
      <c r="BK53" s="1068"/>
      <c r="BL53" s="1068"/>
      <c r="BM53" s="1068"/>
      <c r="BN53" s="1068"/>
      <c r="BO53" s="1068"/>
      <c r="BP53" s="1068"/>
      <c r="BQ53" s="1068"/>
      <c r="BR53" s="1068"/>
      <c r="BS53" s="1068"/>
      <c r="BT53" s="1069"/>
      <c r="BU53" s="1069"/>
      <c r="BV53" s="1069"/>
      <c r="BW53" s="1069"/>
      <c r="BX53" s="1069"/>
      <c r="BY53" s="1069"/>
      <c r="BZ53" s="1069"/>
      <c r="CA53" s="1069"/>
      <c r="CB53" s="1069"/>
      <c r="CC53" s="1069"/>
      <c r="CD53" s="1069"/>
      <c r="CE53" s="1069"/>
      <c r="CF53" s="1069"/>
      <c r="CG53" s="1069"/>
      <c r="CH53" s="1069"/>
      <c r="CI53" s="1069"/>
      <c r="CJ53" s="1069"/>
      <c r="CK53" s="1069"/>
      <c r="CL53" s="1069"/>
      <c r="CM53" s="1069"/>
      <c r="CN53" s="1069"/>
      <c r="CO53" s="1069"/>
      <c r="CP53" s="1069"/>
      <c r="CQ53" s="1069"/>
      <c r="CR53" s="1069"/>
      <c r="CS53" s="1069"/>
      <c r="CT53" s="1069"/>
      <c r="CU53" s="1069"/>
      <c r="CV53" s="1069"/>
      <c r="CW53" s="1069"/>
      <c r="CX53" s="1069"/>
      <c r="CY53" s="1069"/>
      <c r="CZ53" s="1069"/>
      <c r="DA53" s="1069"/>
      <c r="DB53" s="1069"/>
      <c r="DC53" s="1069"/>
      <c r="DD53" s="1069"/>
      <c r="DE53" s="1069"/>
      <c r="DF53" s="1069"/>
      <c r="DG53" s="1069"/>
      <c r="DH53" s="1069"/>
      <c r="DI53" s="1069"/>
      <c r="DJ53" s="1069"/>
      <c r="DK53" s="1069"/>
      <c r="DL53" s="1069"/>
      <c r="DM53" s="1069"/>
      <c r="DN53" s="1069"/>
      <c r="DO53" s="1069"/>
      <c r="DP53" s="1069"/>
      <c r="DQ53" s="1069"/>
      <c r="DR53" s="1069"/>
      <c r="DS53" s="1069"/>
      <c r="DT53" s="1069"/>
      <c r="DU53" s="1069"/>
      <c r="DV53" s="1069"/>
      <c r="DW53" s="1069"/>
      <c r="DX53" s="1069"/>
      <c r="FX53" s="1066"/>
      <c r="FY53" s="1066"/>
      <c r="FZ53" s="1066"/>
      <c r="GA53" s="1066"/>
      <c r="GB53" s="1066"/>
      <c r="GC53" s="1067">
        <v>12</v>
      </c>
    </row>
    <row customHeight="1" ht="12.75">
      <c r="S54" s="942"/>
      <c r="T54" s="942"/>
      <c r="U54" s="942"/>
      <c r="V54" s="942"/>
      <c r="W54" s="942"/>
      <c r="X54" s="942"/>
      <c r="Y54" s="942"/>
      <c r="Z54" s="942"/>
      <c r="AA54" s="942"/>
      <c r="AB54" s="942"/>
      <c r="FX54" s="942"/>
      <c r="FY54" s="942"/>
      <c r="FZ54" s="942"/>
      <c r="GA54" s="942"/>
      <c r="GB54" s="942"/>
      <c r="GC54" s="930">
        <v>12</v>
      </c>
    </row>
    <row customHeight="1" ht="12" hidden="1">
      <c r="A55" s="930" t="s">
        <v>81</v>
      </c>
      <c r="B55" s="940">
        <v>0</v>
      </c>
      <c r="C55" s="930">
        <v>0</v>
      </c>
      <c r="D55" s="930">
        <v>0</v>
      </c>
      <c r="E55" s="930">
        <v>3</v>
      </c>
      <c r="F55" s="930">
        <v>6</v>
      </c>
      <c r="G55" s="930">
        <v>18</v>
      </c>
      <c r="H55" s="930">
        <v>27</v>
      </c>
      <c r="I55" s="930">
        <v>18</v>
      </c>
      <c r="J55" s="930">
        <v>0</v>
      </c>
      <c r="K55" s="930">
        <v>0</v>
      </c>
      <c r="L55" s="930">
        <v>0</v>
      </c>
      <c r="M55" s="930">
        <v>0</v>
      </c>
      <c r="N55" s="930">
        <v>0</v>
      </c>
      <c r="O55" s="930">
        <v>0</v>
      </c>
      <c r="P55" s="930">
        <v>0</v>
      </c>
      <c r="Q55" s="930">
        <v>0</v>
      </c>
      <c r="R55" s="930">
        <v>0</v>
      </c>
      <c r="S55" s="930">
        <v>0</v>
      </c>
      <c r="T55" s="930">
        <v>0</v>
      </c>
      <c r="U55" s="930">
        <v>0</v>
      </c>
      <c r="V55" s="930">
        <v>0</v>
      </c>
      <c r="W55" s="930">
        <v>0</v>
      </c>
      <c r="X55" s="930">
        <v>0</v>
      </c>
      <c r="Y55" s="930">
        <v>0</v>
      </c>
      <c r="Z55" s="930">
        <v>0</v>
      </c>
      <c r="AA55" s="930">
        <v>0</v>
      </c>
      <c r="AB55" s="930">
        <v>0</v>
      </c>
      <c r="AC55" s="930">
        <v>0</v>
      </c>
      <c r="AD55" s="930">
        <v>0</v>
      </c>
      <c r="AE55" s="930">
        <v>0</v>
      </c>
      <c r="AF55" s="930">
        <v>0</v>
      </c>
      <c r="AG55" s="930">
        <v>0</v>
      </c>
      <c r="AH55" s="930">
        <v>0</v>
      </c>
      <c r="AI55" s="930">
        <v>0</v>
      </c>
      <c r="AJ55" s="930">
        <v>0</v>
      </c>
      <c r="AK55" s="930">
        <v>0</v>
      </c>
      <c r="AL55" s="930">
        <v>0</v>
      </c>
      <c r="AM55" s="930">
        <v>0</v>
      </c>
      <c r="AN55" s="930">
        <v>0</v>
      </c>
      <c r="AO55" s="930">
        <v>0</v>
      </c>
      <c r="AP55" s="930">
        <v>0</v>
      </c>
      <c r="AQ55" s="930">
        <v>0</v>
      </c>
      <c r="AR55" s="930">
        <v>0</v>
      </c>
      <c r="AS55" s="930">
        <v>0</v>
      </c>
      <c r="AT55" s="930">
        <v>0</v>
      </c>
      <c r="AU55" s="930">
        <v>0</v>
      </c>
      <c r="AV55" s="930">
        <v>0</v>
      </c>
      <c r="AW55" s="930">
        <v>0</v>
      </c>
      <c r="AX55" s="930">
        <v>0</v>
      </c>
      <c r="AY55" s="930">
        <v>0</v>
      </c>
      <c r="AZ55" s="930">
        <v>0</v>
      </c>
      <c r="BA55" s="930">
        <v>0</v>
      </c>
      <c r="BB55" s="930">
        <v>0</v>
      </c>
      <c r="BC55" s="930">
        <v>0</v>
      </c>
      <c r="BD55" s="930">
        <v>0</v>
      </c>
      <c r="BE55" s="930">
        <v>0</v>
      </c>
      <c r="BF55" s="930">
        <v>0</v>
      </c>
      <c r="BG55" s="930">
        <v>0</v>
      </c>
      <c r="BH55" s="930">
        <v>0</v>
      </c>
      <c r="BI55" s="930">
        <v>0</v>
      </c>
      <c r="BJ55" s="930">
        <v>0</v>
      </c>
      <c r="BK55" s="930">
        <v>0</v>
      </c>
      <c r="BL55" s="930">
        <v>0</v>
      </c>
      <c r="BM55" s="930">
        <v>0</v>
      </c>
      <c r="BN55" s="930">
        <v>0</v>
      </c>
      <c r="BO55" s="930">
        <v>0</v>
      </c>
      <c r="BP55" s="930">
        <v>0</v>
      </c>
      <c r="BQ55" s="930">
        <v>0</v>
      </c>
      <c r="BR55" s="930">
        <v>0</v>
      </c>
      <c r="BS55" s="930">
        <v>0</v>
      </c>
      <c r="BT55" s="930">
        <v>0</v>
      </c>
      <c r="BU55" s="930">
        <v>0</v>
      </c>
      <c r="BV55" s="930">
        <v>0</v>
      </c>
      <c r="BW55" s="930">
        <v>0</v>
      </c>
      <c r="BX55" s="930">
        <v>0</v>
      </c>
      <c r="BY55" s="930">
        <v>0</v>
      </c>
      <c r="BZ55" s="930">
        <v>0</v>
      </c>
      <c r="CA55" s="930">
        <v>0</v>
      </c>
      <c r="CB55" s="930">
        <v>0</v>
      </c>
      <c r="CC55" s="930">
        <v>0</v>
      </c>
      <c r="CD55" s="930">
        <v>0</v>
      </c>
      <c r="CE55" s="930">
        <v>0</v>
      </c>
      <c r="CF55" s="930">
        <v>0</v>
      </c>
      <c r="CG55" s="930">
        <v>0</v>
      </c>
      <c r="CH55" s="930">
        <v>0</v>
      </c>
      <c r="CI55" s="930">
        <v>0</v>
      </c>
      <c r="CJ55" s="930">
        <v>0</v>
      </c>
      <c r="CK55" s="930">
        <v>0</v>
      </c>
      <c r="CL55" s="930">
        <v>0</v>
      </c>
      <c r="CM55" s="930">
        <v>0</v>
      </c>
      <c r="CN55" s="930">
        <v>0</v>
      </c>
      <c r="CO55" s="930">
        <v>0</v>
      </c>
      <c r="CP55" s="930">
        <v>0</v>
      </c>
      <c r="CQ55" s="930">
        <v>0</v>
      </c>
      <c r="CR55" s="930">
        <v>0</v>
      </c>
      <c r="CS55" s="930">
        <v>0</v>
      </c>
      <c r="CT55" s="930">
        <v>0</v>
      </c>
      <c r="CU55" s="930">
        <v>0</v>
      </c>
      <c r="CV55" s="930">
        <v>0</v>
      </c>
      <c r="CW55" s="930">
        <v>0</v>
      </c>
      <c r="CX55" s="930">
        <v>0</v>
      </c>
      <c r="CY55" s="930">
        <v>0</v>
      </c>
      <c r="CZ55" s="930">
        <v>0</v>
      </c>
      <c r="DA55" s="930">
        <v>0</v>
      </c>
      <c r="DB55" s="930">
        <v>0</v>
      </c>
      <c r="DC55" s="930">
        <v>0</v>
      </c>
      <c r="DD55" s="930">
        <v>0</v>
      </c>
      <c r="DE55" s="930">
        <v>0</v>
      </c>
      <c r="DF55" s="930">
        <v>0</v>
      </c>
      <c r="DG55" s="930">
        <v>0</v>
      </c>
      <c r="DH55" s="930">
        <v>0</v>
      </c>
      <c r="DI55" s="930">
        <v>0</v>
      </c>
      <c r="DJ55" s="930">
        <v>0</v>
      </c>
      <c r="DK55" s="930">
        <v>0</v>
      </c>
      <c r="DL55" s="930">
        <v>0</v>
      </c>
      <c r="DM55" s="930">
        <v>0</v>
      </c>
      <c r="DN55" s="930">
        <v>0</v>
      </c>
      <c r="DO55" s="930">
        <v>0</v>
      </c>
      <c r="DP55" s="930">
        <v>0</v>
      </c>
      <c r="DQ55" s="930">
        <v>0</v>
      </c>
      <c r="DR55" s="930">
        <v>0</v>
      </c>
      <c r="DS55" s="930">
        <v>0</v>
      </c>
      <c r="DT55" s="930">
        <v>0</v>
      </c>
      <c r="DU55" s="930">
        <v>0</v>
      </c>
      <c r="DV55" s="930">
        <v>0</v>
      </c>
      <c r="DW55" s="930">
        <v>0</v>
      </c>
      <c r="DX55" s="930">
        <v>0</v>
      </c>
      <c r="DY55" s="930">
        <v>0</v>
      </c>
      <c r="DZ55" s="930">
        <v>0</v>
      </c>
      <c r="EA55" s="930">
        <v>0</v>
      </c>
      <c r="EB55" s="930">
        <v>0</v>
      </c>
      <c r="EC55" s="930">
        <v>0</v>
      </c>
      <c r="ED55" s="930">
        <v>0</v>
      </c>
      <c r="EE55" s="930">
        <v>0</v>
      </c>
      <c r="EF55" s="930">
        <v>0</v>
      </c>
      <c r="EG55" s="930">
        <v>0</v>
      </c>
      <c r="EH55" s="930">
        <v>0</v>
      </c>
      <c r="EI55" s="930">
        <v>0</v>
      </c>
      <c r="EJ55" s="930">
        <v>0</v>
      </c>
      <c r="EK55" s="930">
        <v>0</v>
      </c>
      <c r="EL55" s="930">
        <v>0</v>
      </c>
      <c r="EM55" s="930">
        <v>0</v>
      </c>
      <c r="EN55" s="930">
        <v>0</v>
      </c>
      <c r="EO55" s="930">
        <v>0</v>
      </c>
      <c r="EP55" s="930">
        <v>0</v>
      </c>
      <c r="EQ55" s="930">
        <v>0</v>
      </c>
      <c r="ER55" s="930">
        <v>0</v>
      </c>
      <c r="ES55" s="930">
        <v>0</v>
      </c>
      <c r="ET55" s="930">
        <v>0</v>
      </c>
      <c r="EU55" s="930">
        <v>0</v>
      </c>
      <c r="EV55" s="930">
        <v>0</v>
      </c>
      <c r="EW55" s="930">
        <v>0</v>
      </c>
      <c r="EX55" s="930">
        <v>0</v>
      </c>
      <c r="EY55" s="930">
        <v>0</v>
      </c>
      <c r="EZ55" s="930">
        <v>0</v>
      </c>
      <c r="FA55" s="930">
        <v>0</v>
      </c>
      <c r="FB55" s="930">
        <v>0</v>
      </c>
      <c r="FC55" s="930">
        <v>0</v>
      </c>
      <c r="FD55" s="930">
        <v>0</v>
      </c>
      <c r="FE55" s="930">
        <v>0</v>
      </c>
      <c r="FF55" s="930">
        <v>0</v>
      </c>
      <c r="FG55" s="930">
        <v>0</v>
      </c>
      <c r="FH55" s="930">
        <v>0</v>
      </c>
      <c r="FI55" s="930">
        <v>0</v>
      </c>
      <c r="FJ55" s="930">
        <v>0</v>
      </c>
      <c r="FK55" s="930">
        <v>0</v>
      </c>
      <c r="FL55" s="930">
        <v>0</v>
      </c>
      <c r="FM55" s="930">
        <v>0</v>
      </c>
      <c r="FN55" s="930">
        <v>0</v>
      </c>
      <c r="FO55" s="930">
        <v>0</v>
      </c>
      <c r="FP55" s="930">
        <v>0</v>
      </c>
      <c r="FQ55" s="930">
        <v>0</v>
      </c>
      <c r="FR55" s="930">
        <v>0</v>
      </c>
      <c r="FS55" s="930">
        <v>0</v>
      </c>
      <c r="FT55" s="930">
        <v>0</v>
      </c>
      <c r="FU55" s="930">
        <v>0</v>
      </c>
      <c r="FV55" s="930">
        <v>0</v>
      </c>
      <c r="FW55" s="930">
        <v>0</v>
      </c>
      <c r="FX55" s="930">
        <v>8</v>
      </c>
      <c r="FY55" s="930">
        <v>8</v>
      </c>
      <c r="FZ55" s="930">
        <v>8</v>
      </c>
      <c r="GA55" s="930">
        <v>8</v>
      </c>
      <c r="GB55" s="930">
        <v>8</v>
      </c>
      <c r="GC5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61">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textLength" operator="lessThanOrEqual" allowBlank="1" showInputMessage="1" showErrorMessage="1" errorTitle="Ошибка" error="Допускается ввод не более 900 символов!" sqref="I28">
      <formula1>900</formula1>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textLength" operator="lessThanOrEqual" allowBlank="1" showInputMessage="1" showErrorMessage="1" errorTitle="Ошибка" error="Допускается ввод не более 900 символов!" sqref="I31">
      <formula1>900</formula1>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textLength" operator="lessThanOrEqual" allowBlank="1" showInputMessage="1" showErrorMessage="1" errorTitle="Ошибка" error="Допускается ввод не более 900 символов!" sqref="I34">
      <formula1>900</formula1>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textLength" operator="lessThanOrEqual" allowBlank="1" showInputMessage="1" showErrorMessage="1" errorTitle="Ошибка" error="Допускается ввод не более 900 символов!" sqref="I37">
      <formula1>900</formula1>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textLength" operator="lessThanOrEqual" allowBlank="1" showInputMessage="1" showErrorMessage="1" errorTitle="Ошибка" error="Допускается ввод не более 900 символов!" sqref="I40">
      <formula1>900</formula1>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textLength" operator="lessThanOrEqual" allowBlank="1" showInputMessage="1" showErrorMessage="1" errorTitle="Ошибка" error="Допускается ввод не более 900 символов!" sqref="I43">
      <formula1>900</formula1>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textLength" operator="lessThanOrEqual" allowBlank="1" showInputMessage="1" showErrorMessage="1" errorTitle="Ошибка" error="Допускается ввод не более 900 символов!" sqref="I46">
      <formula1>900</formula1>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9">
      <formula1>QRE_METHOD_LIST</formula1>
    </dataValidation>
    <dataValidation type="textLength" operator="lessThanOrEqual" allowBlank="1" showInputMessage="1" showErrorMessage="1" errorTitle="Ошибка" error="Допускается ввод не более 900 символов!" sqref="I49">
      <formula1>900</formula1>
    </dataValidation>
    <dataValidation type="decimal" allowBlank="1" showErrorMessage="1" errorTitle="Ошибка" error="Допускается ввод только действительных чисел!" sqref="O49">
      <formula1>-9.99999999999999E+23</formula1>
      <formula2>9.99999999999999E+23</formula2>
    </dataValidation>
    <dataValidation type="decimal" allowBlank="1" showErrorMessage="1" errorTitle="Ошибка" error="Допускается ввод только действительных чисел!" sqref="P49">
      <formula1>-9.99999999999999E+23</formula1>
      <formula2>9.99999999999999E+23</formula2>
    </dataValidation>
    <dataValidation type="decimal" allowBlank="1" showErrorMessage="1" errorTitle="Ошибка" error="Допускается ввод только действительных чисел!" sqref="Q49">
      <formula1>-9.99999999999999E+23</formula1>
      <formula2>9.99999999999999E+23</formula2>
    </dataValidation>
    <dataValidation type="decimal" allowBlank="1" showErrorMessage="1" errorTitle="Ошибка" error="Допускается ввод только действительных чисел!" sqref="R49">
      <formula1>-9.99999999999999E+23</formula1>
      <formula2>9.99999999999999E+23</formula2>
    </dataValidation>
    <dataValidation type="decimal" allowBlank="1" showErrorMessage="1" errorTitle="Ошибка" error="Допускается ввод только действительных чисел!" sqref="S49">
      <formula1>-9.99999999999999E+23</formula1>
      <formula2>9.99999999999999E+23</formula2>
    </dataValidation>
    <dataValidation type="decimal" allowBlank="1" showErrorMessage="1" errorTitle="Ошибка" error="Допускается ввод только действительных чисел!" sqref="T49">
      <formula1>-9.99999999999999E+23</formula1>
      <formula2>9.99999999999999E+23</formula2>
    </dataValidation>
    <dataValidation type="decimal" allowBlank="1" showErrorMessage="1" errorTitle="Ошибка" error="Допускается ввод только действительных чисел!" sqref="U49">
      <formula1>-9.99999999999999E+23</formula1>
      <formula2>9.99999999999999E+23</formula2>
    </dataValidation>
    <dataValidation type="decimal" allowBlank="1" showErrorMessage="1" errorTitle="Ошибка" error="Допускается ввод только действительных чисел!" sqref="V49">
      <formula1>-9.99999999999999E+23</formula1>
      <formula2>9.99999999999999E+23</formula2>
    </dataValidation>
    <dataValidation type="decimal" allowBlank="1" showErrorMessage="1" errorTitle="Ошибка" error="Допускается ввод только действительных чисел!" sqref="W49">
      <formula1>-9.99999999999999E+23</formula1>
      <formula2>9.99999999999999E+23</formula2>
    </dataValidation>
    <dataValidation type="decimal" allowBlank="1" showErrorMessage="1" errorTitle="Ошибка" error="Допускается ввод только действительных чисел!" sqref="X49">
      <formula1>-9.99999999999999E+23</formula1>
      <formula2>9.99999999999999E+23</formula2>
    </dataValidation>
    <dataValidation type="decimal" allowBlank="1" showErrorMessage="1" errorTitle="Ошибка" error="Допускается ввод только действительных чисел!" sqref="Y49">
      <formula1>-9.99999999999999E+23</formula1>
      <formula2>9.99999999999999E+23</formula2>
    </dataValidation>
    <dataValidation type="decimal" allowBlank="1" showErrorMessage="1" errorTitle="Ошибка" error="Допускается ввод только действительных чисел!" sqref="Z49">
      <formula1>-9.99999999999999E+23</formula1>
      <formula2>9.99999999999999E+23</formula2>
    </dataValidation>
    <dataValidation type="decimal" allowBlank="1" showErrorMessage="1" errorTitle="Ошибка" error="Допускается ввод только действительных чисел!" sqref="AA49">
      <formula1>-9.99999999999999E+23</formula1>
      <formula2>9.99999999999999E+23</formula2>
    </dataValidation>
    <dataValidation type="decimal" allowBlank="1" showErrorMessage="1" errorTitle="Ошибка" error="Допускается ввод только действительных чисел!" sqref="AB49">
      <formula1>-9.99999999999999E+23</formula1>
      <formula2>9.99999999999999E+23</formula2>
    </dataValidation>
    <dataValidation type="decimal" allowBlank="1" showErrorMessage="1" errorTitle="Ошибка" error="Допускается ввод только действительных чисел!" sqref="BT49">
      <formula1>-9.99999999999999E+23</formula1>
      <formula2>9.99999999999999E+23</formula2>
    </dataValidation>
    <dataValidation type="decimal" allowBlank="1" showErrorMessage="1" errorTitle="Ошибка" error="Допускается ввод только действительных чисел!" sqref="BU49">
      <formula1>-9.99999999999999E+23</formula1>
      <formula2>9.99999999999999E+23</formula2>
    </dataValidation>
    <dataValidation type="decimal" allowBlank="1" showErrorMessage="1" errorTitle="Ошибка" error="Допускается ввод только действительных чисел!" sqref="BV49">
      <formula1>-9.99999999999999E+23</formula1>
      <formula2>9.99999999999999E+23</formula2>
    </dataValidation>
    <dataValidation type="decimal" allowBlank="1" showErrorMessage="1" errorTitle="Ошибка" error="Допускается ввод только действительных чисел!" sqref="BW49">
      <formula1>-9.99999999999999E+23</formula1>
      <formula2>9.99999999999999E+23</formula2>
    </dataValidation>
    <dataValidation type="decimal" allowBlank="1" showErrorMessage="1" errorTitle="Ошибка" error="Допускается ввод только действительных чисел!" sqref="BX49">
      <formula1>-9.99999999999999E+23</formula1>
      <formula2>9.99999999999999E+23</formula2>
    </dataValidation>
    <dataValidation type="decimal" allowBlank="1" showErrorMessage="1" errorTitle="Ошибка" error="Допускается ввод только действительных чисел!" sqref="BY49">
      <formula1>-9.99999999999999E+23</formula1>
      <formula2>9.99999999999999E+23</formula2>
    </dataValidation>
    <dataValidation type="decimal" allowBlank="1" showErrorMessage="1" errorTitle="Ошибка" error="Допускается ввод только действительных чисел!" sqref="BZ49">
      <formula1>-9.99999999999999E+23</formula1>
      <formula2>9.99999999999999E+23</formula2>
    </dataValidation>
    <dataValidation type="decimal" allowBlank="1" showErrorMessage="1" errorTitle="Ошибка" error="Допускается ввод только действительных чисел!" sqref="CA49">
      <formula1>-9.99999999999999E+23</formula1>
      <formula2>9.99999999999999E+23</formula2>
    </dataValidation>
    <dataValidation type="decimal" allowBlank="1" showErrorMessage="1" errorTitle="Ошибка" error="Допускается ввод только действительных чисел!" sqref="CB49">
      <formula1>-9.99999999999999E+23</formula1>
      <formula2>9.99999999999999E+23</formula2>
    </dataValidation>
    <dataValidation type="decimal" allowBlank="1" showErrorMessage="1" errorTitle="Ошибка" error="Допускается ввод только действительных чисел!" sqref="CC49">
      <formula1>-9.99999999999999E+23</formula1>
      <formula2>9.99999999999999E+23</formula2>
    </dataValidation>
    <dataValidation type="decimal" allowBlank="1" showErrorMessage="1" errorTitle="Ошибка" error="Допускается ввод только действительных чисел!" sqref="CD49">
      <formula1>-9.99999999999999E+23</formula1>
      <formula2>9.99999999999999E+23</formula2>
    </dataValidation>
    <dataValidation type="decimal" allowBlank="1" showErrorMessage="1" errorTitle="Ошибка" error="Допускается ввод только действительных чисел!" sqref="CE49">
      <formula1>-9.99999999999999E+23</formula1>
      <formula2>9.99999999999999E+23</formula2>
    </dataValidation>
    <dataValidation type="decimal" allowBlank="1" showErrorMessage="1" errorTitle="Ошибка" error="Допускается ввод только действительных чисел!" sqref="CF49">
      <formula1>-9.99999999999999E+23</formula1>
      <formula2>9.99999999999999E+23</formula2>
    </dataValidation>
    <dataValidation type="decimal" allowBlank="1" showErrorMessage="1" errorTitle="Ошибка" error="Допускается ввод только действительных чисел!" sqref="CG49">
      <formula1>-9.99999999999999E+23</formula1>
      <formula2>9.99999999999999E+23</formula2>
    </dataValidation>
    <dataValidation type="decimal" allowBlank="1" showErrorMessage="1" errorTitle="Ошибка" error="Допускается ввод только действительных чисел!" sqref="CH49">
      <formula1>-9.99999999999999E+23</formula1>
      <formula2>9.99999999999999E+23</formula2>
    </dataValidation>
    <dataValidation type="decimal" allowBlank="1" showErrorMessage="1" errorTitle="Ошибка" error="Допускается ввод только действительных чисел!" sqref="CI49">
      <formula1>-9.99999999999999E+23</formula1>
      <formula2>9.99999999999999E+23</formula2>
    </dataValidation>
    <dataValidation type="decimal" allowBlank="1" showErrorMessage="1" errorTitle="Ошибка" error="Допускается ввод только действительных чисел!" sqref="CJ49">
      <formula1>-9.99999999999999E+23</formula1>
      <formula2>9.99999999999999E+23</formula2>
    </dataValidation>
    <dataValidation type="decimal" allowBlank="1" showErrorMessage="1" errorTitle="Ошибка" error="Допускается ввод только действительных чисел!" sqref="CK49">
      <formula1>-9.99999999999999E+23</formula1>
      <formula2>9.99999999999999E+23</formula2>
    </dataValidation>
    <dataValidation type="decimal" allowBlank="1" showErrorMessage="1" errorTitle="Ошибка" error="Допускается ввод только действительных чисел!" sqref="CY49">
      <formula1>-9.99999999999999E+23</formula1>
      <formula2>9.99999999999999E+23</formula2>
    </dataValidation>
    <dataValidation type="decimal" allowBlank="1" showErrorMessage="1" errorTitle="Ошибка" error="Допускается ввод только действительных чисел!" sqref="CZ49">
      <formula1>-9.99999999999999E+23</formula1>
      <formula2>9.99999999999999E+23</formula2>
    </dataValidation>
    <dataValidation type="decimal" allowBlank="1" showErrorMessage="1" errorTitle="Ошибка" error="Допускается ввод только действительных чисел!" sqref="DA49">
      <formula1>-9.99999999999999E+23</formula1>
      <formula2>9.99999999999999E+23</formula2>
    </dataValidation>
    <dataValidation type="decimal" allowBlank="1" showErrorMessage="1" errorTitle="Ошибка" error="Допускается ввод только действительных чисел!" sqref="DB49">
      <formula1>-9.99999999999999E+23</formula1>
      <formula2>9.99999999999999E+23</formula2>
    </dataValidation>
    <dataValidation type="decimal" allowBlank="1" showErrorMessage="1" errorTitle="Ошибка" error="Допускается ввод только действительных чисел!" sqref="DC49">
      <formula1>-9.99999999999999E+23</formula1>
      <formula2>9.99999999999999E+23</formula2>
    </dataValidation>
    <dataValidation type="decimal" allowBlank="1" showErrorMessage="1" errorTitle="Ошибка" error="Допускается ввод только действительных чисел!" sqref="DD49">
      <formula1>-9.99999999999999E+23</formula1>
      <formula2>9.99999999999999E+23</formula2>
    </dataValidation>
    <dataValidation type="decimal" allowBlank="1" showErrorMessage="1" errorTitle="Ошибка" error="Допускается ввод только действительных чисел!" sqref="DE49">
      <formula1>-9.99999999999999E+23</formula1>
      <formula2>9.99999999999999E+23</formula2>
    </dataValidation>
    <dataValidation type="decimal" allowBlank="1" showErrorMessage="1" errorTitle="Ошибка" error="Допускается ввод только действительных чисел!" sqref="DF49">
      <formula1>-9.99999999999999E+23</formula1>
      <formula2>9.99999999999999E+23</formula2>
    </dataValidation>
    <dataValidation type="decimal" allowBlank="1" showErrorMessage="1" errorTitle="Ошибка" error="Допускается ввод только действительных чисел!" sqref="DG49">
      <formula1>-9.99999999999999E+23</formula1>
      <formula2>9.99999999999999E+23</formula2>
    </dataValidation>
    <dataValidation type="decimal" allowBlank="1" showErrorMessage="1" errorTitle="Ошибка" error="Допускается ввод только действительных чисел!" sqref="DH49">
      <formula1>-9.99999999999999E+23</formula1>
      <formula2>9.99999999999999E+23</formula2>
    </dataValidation>
    <dataValidation type="decimal" allowBlank="1" showErrorMessage="1" errorTitle="Ошибка" error="Допускается ввод только действительных чисел!" sqref="DI49">
      <formula1>-9.99999999999999E+23</formula1>
      <formula2>9.99999999999999E+23</formula2>
    </dataValidation>
    <dataValidation type="decimal" allowBlank="1" showErrorMessage="1" errorTitle="Ошибка" error="Допускается ввод только действительных чисел!" sqref="DJ49">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65B65-7D58-5D63-3088-70300FD99D84}" mc:Ignorable="x14ac xr xr2 xr3">
  <sheetPr>
    <tabColor theme="2" tint="-0.1"/>
  </sheetPr>
  <dimension ref="A1:BE23"/>
  <sheetViews>
    <sheetView showGridLines="0" zoomScale="90" workbookViewId="0">
      <pane xSplit="7" ySplit="14" topLeftCell="AW15" activePane="bottomRight" state="frozen"/>
      <selection pane="bottomLeft" activeCell="A15" sqref="A15"/>
      <selection pane="topRight" activeCell="H1" sqref="H1"/>
      <selection pane="bottomRight" activeCell="AW8" sqref="AW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46" style="1639" width="42.421875" customWidth="1"/>
    <col min="47" max="47" style="1370" width="93.00390625" customWidth="1"/>
    <col min="48" max="55" style="1639" width="10.00390625" customWidth="1"/>
    <col min="56" max="56" style="679" width="10.00390625" customWidth="1"/>
    <col min="57" max="57"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BD1" s="424"/>
      <c r="BE1" s="421" t="s">
        <v>14</v>
      </c>
    </row>
    <row customHeight="1" ht="22.5" hidden="1">
      <c r="C2" s="1929" t="s">
        <v>103</v>
      </c>
      <c r="D2" s="543"/>
      <c r="E2" s="667"/>
      <c r="F2" s="1764" t="str">
        <f>IF(TEMPLATE_SPHERE="HEAT","Гкал/час","тыс. куб. м/сутки")</f>
        <v>тыс. куб. м/сутки</v>
      </c>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293"/>
      <c r="BE2" s="509">
        <v>0</v>
      </c>
    </row>
    <row s="1370" customFormat="1" customHeight="1" ht="15" hidden="1">
      <c r="C3" s="676"/>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BD3" s="424"/>
      <c r="BE3" s="421">
        <v>0</v>
      </c>
    </row>
    <row customHeight="1" ht="15.75">
      <c r="C4" s="180"/>
      <c r="D4" s="513"/>
      <c r="E4" s="513"/>
      <c r="F4" s="513"/>
      <c r="G4" s="513"/>
      <c r="H4" s="513"/>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BE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4"/>
      <c r="F5" s="2254"/>
      <c r="G5" s="2254"/>
      <c r="H5" s="2254"/>
      <c r="I5" s="2265"/>
      <c r="J5" s="2265"/>
      <c r="K5" s="2265"/>
      <c r="L5" s="2265"/>
      <c r="M5" s="2265"/>
      <c r="N5" s="2265"/>
      <c r="O5" s="2265"/>
      <c r="P5" s="2265"/>
      <c r="Q5" s="2265"/>
      <c r="R5" s="2265"/>
      <c r="S5" s="2265"/>
      <c r="T5" s="2265"/>
      <c r="U5" s="2265"/>
      <c r="V5" s="2265"/>
      <c r="W5" s="2265"/>
      <c r="X5" s="2265"/>
      <c r="Y5" s="2265"/>
      <c r="Z5" s="2265"/>
      <c r="AA5" s="2265"/>
      <c r="AB5" s="2265"/>
      <c r="AC5" s="2265"/>
      <c r="AD5" s="2265"/>
      <c r="AE5" s="2265"/>
      <c r="AF5" s="2265"/>
      <c r="AG5" s="2265"/>
      <c r="AH5" s="2265"/>
      <c r="AI5" s="2265"/>
      <c r="AJ5" s="2265"/>
      <c r="AK5" s="2265"/>
      <c r="AL5" s="2265"/>
      <c r="AM5" s="2265"/>
      <c r="AN5" s="2265"/>
      <c r="AO5" s="2265"/>
      <c r="AP5" s="2265"/>
      <c r="AQ5" s="2265"/>
      <c r="AR5" s="2265"/>
      <c r="AS5" s="2265"/>
      <c r="AT5" s="2265"/>
      <c r="AU5" s="541"/>
      <c r="BE5" s="509">
        <v>38</v>
      </c>
    </row>
    <row customHeight="1" ht="15.75">
      <c r="C6" s="180"/>
      <c r="D6" s="2193" t="str">
        <f>IF(org=0,"Не определено",org)</f>
        <v>КГУП "Примтеплоэнерго"</v>
      </c>
      <c r="E6" s="2193"/>
      <c r="F6" s="2193"/>
      <c r="G6" s="2193"/>
      <c r="H6" s="2193"/>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6"/>
      <c r="AR6" s="2266"/>
      <c r="AS6" s="2266"/>
      <c r="AT6" s="2266"/>
      <c r="AU6" s="541"/>
      <c r="BE6" s="509">
        <v>15</v>
      </c>
    </row>
    <row s="1639" customFormat="1" customHeight="1" ht="15.75">
      <c r="A7" s="763"/>
      <c r="C7" s="180"/>
      <c r="D7" s="680"/>
      <c r="E7" s="680"/>
      <c r="F7" s="680"/>
      <c r="G7" s="680"/>
      <c r="H7" s="756"/>
      <c r="I7" s="2424" t="s">
        <v>22</v>
      </c>
      <c r="J7" s="2424" t="s">
        <v>22</v>
      </c>
      <c r="K7" s="2424" t="s">
        <v>22</v>
      </c>
      <c r="L7" s="2424" t="s">
        <v>22</v>
      </c>
      <c r="M7" s="2424" t="s">
        <v>22</v>
      </c>
      <c r="N7" s="2424" t="s">
        <v>22</v>
      </c>
      <c r="O7" s="2424" t="s">
        <v>22</v>
      </c>
      <c r="P7" s="2424" t="s">
        <v>22</v>
      </c>
      <c r="Q7" s="2424" t="s">
        <v>22</v>
      </c>
      <c r="R7" s="2424" t="s">
        <v>22</v>
      </c>
      <c r="S7" s="2424" t="s">
        <v>22</v>
      </c>
      <c r="T7" s="2424" t="s">
        <v>22</v>
      </c>
      <c r="U7" s="2424" t="s">
        <v>22</v>
      </c>
      <c r="V7" s="2424" t="s">
        <v>22</v>
      </c>
      <c r="W7" s="2424" t="s">
        <v>22</v>
      </c>
      <c r="X7" s="2424" t="s">
        <v>22</v>
      </c>
      <c r="Y7" s="2424" t="s">
        <v>22</v>
      </c>
      <c r="Z7" s="2424" t="s">
        <v>22</v>
      </c>
      <c r="AA7" s="2424" t="s">
        <v>22</v>
      </c>
      <c r="AB7" s="2424" t="s">
        <v>22</v>
      </c>
      <c r="AC7" s="2424" t="s">
        <v>22</v>
      </c>
      <c r="AD7" s="2424" t="s">
        <v>22</v>
      </c>
      <c r="AE7" s="2424" t="s">
        <v>22</v>
      </c>
      <c r="AF7" s="2424" t="s">
        <v>22</v>
      </c>
      <c r="AG7" s="2424" t="s">
        <v>22</v>
      </c>
      <c r="AH7" s="2424" t="s">
        <v>22</v>
      </c>
      <c r="AI7" s="2424" t="s">
        <v>22</v>
      </c>
      <c r="AJ7" s="2424" t="s">
        <v>22</v>
      </c>
      <c r="AK7" s="2424" t="s">
        <v>22</v>
      </c>
      <c r="AL7" s="2424" t="s">
        <v>22</v>
      </c>
      <c r="AM7" s="2424" t="s">
        <v>22</v>
      </c>
      <c r="AN7" s="2424" t="s">
        <v>22</v>
      </c>
      <c r="AO7" s="2424" t="s">
        <v>22</v>
      </c>
      <c r="AP7" s="2424" t="s">
        <v>22</v>
      </c>
      <c r="AQ7" s="2424" t="s">
        <v>22</v>
      </c>
      <c r="AR7" s="2424" t="s">
        <v>22</v>
      </c>
      <c r="AS7" s="2424" t="s">
        <v>22</v>
      </c>
      <c r="AT7" s="2424" t="s">
        <v>22</v>
      </c>
      <c r="AU7" s="541"/>
      <c r="BD7" s="679"/>
      <c r="BE7" s="762">
        <v>15</v>
      </c>
    </row>
    <row customHeight="1" ht="1.05">
      <c r="C8" s="180"/>
      <c r="D8" s="513"/>
      <c r="E8" s="513"/>
      <c r="F8" s="513"/>
      <c r="G8" s="513"/>
      <c r="H8" s="541" t="s">
        <v>182</v>
      </c>
      <c r="I8" s="1639" t="s">
        <v>238</v>
      </c>
      <c r="J8" s="1639" t="s">
        <v>250</v>
      </c>
      <c r="K8" s="1639" t="s">
        <v>253</v>
      </c>
      <c r="L8" s="1639" t="s">
        <v>186</v>
      </c>
      <c r="M8" s="1639" t="s">
        <v>188</v>
      </c>
      <c r="N8" s="1639" t="s">
        <v>190</v>
      </c>
      <c r="O8" s="1639" t="s">
        <v>192</v>
      </c>
      <c r="P8" s="1639" t="s">
        <v>194</v>
      </c>
      <c r="Q8" s="1639" t="s">
        <v>196</v>
      </c>
      <c r="R8" s="1639" t="s">
        <v>198</v>
      </c>
      <c r="S8" s="1639" t="s">
        <v>201</v>
      </c>
      <c r="T8" s="1639" t="s">
        <v>203</v>
      </c>
      <c r="U8" s="1639" t="s">
        <v>207</v>
      </c>
      <c r="V8" s="1639" t="s">
        <v>211</v>
      </c>
      <c r="W8" s="1639" t="s">
        <v>213</v>
      </c>
      <c r="X8" s="1639" t="s">
        <v>215</v>
      </c>
      <c r="Y8" s="1639" t="s">
        <v>217</v>
      </c>
      <c r="Z8" s="1639" t="s">
        <v>225</v>
      </c>
      <c r="AA8" s="1639" t="s">
        <v>229</v>
      </c>
      <c r="AB8" s="1639" t="s">
        <v>231</v>
      </c>
      <c r="AC8" s="1639" t="s">
        <v>235</v>
      </c>
      <c r="AD8" s="1639" t="s">
        <v>205</v>
      </c>
      <c r="AE8" s="1639" t="s">
        <v>209</v>
      </c>
      <c r="AF8" s="1639" t="s">
        <v>219</v>
      </c>
      <c r="AG8" s="1639" t="s">
        <v>221</v>
      </c>
      <c r="AH8" s="1639" t="s">
        <v>223</v>
      </c>
      <c r="AI8" s="1639" t="s">
        <v>227</v>
      </c>
      <c r="AJ8" s="1639" t="s">
        <v>233</v>
      </c>
      <c r="AK8" s="1639" t="s">
        <v>240</v>
      </c>
      <c r="AL8" s="1639" t="s">
        <v>242</v>
      </c>
      <c r="AM8" s="1639" t="s">
        <v>244</v>
      </c>
      <c r="AN8" s="1639" t="s">
        <v>246</v>
      </c>
      <c r="AO8" s="1639" t="s">
        <v>248</v>
      </c>
      <c r="AP8" s="1639" t="s">
        <v>256</v>
      </c>
      <c r="AQ8" s="1639" t="s">
        <v>258</v>
      </c>
      <c r="AR8" s="1639" t="s">
        <v>260</v>
      </c>
      <c r="AS8" s="1639" t="s">
        <v>262</v>
      </c>
      <c r="AT8" s="1639" t="s">
        <v>264</v>
      </c>
      <c r="BE8" s="509">
        <v>1</v>
      </c>
    </row>
    <row customHeight="1" ht="15.75">
      <c r="C9" s="180"/>
      <c r="D9" s="715"/>
      <c r="E9" s="2384" t="s">
        <v>173</v>
      </c>
      <c r="F9" s="2385"/>
      <c r="G9" s="820" t="str">
        <f>IF(G8="","",INDEX(DIFFERENTIATION_UNMERGE_VD,MATCH(G8,DIFFERENTIATION_ID_DIFF,0)))</f>
        <v/>
      </c>
      <c r="H9" s="820" t="str">
        <f>IF(H8="","",INDEX(DIFFERENTIATION_UNMERGE_VD,MATCH(H8,DIFFERENTIATION_ID_DIFF,0)))</f>
        <v>Холодное водоснабжение. Питьевая вода</v>
      </c>
      <c r="I9" s="2412" t="str">
        <f>IF(I8="","",INDEX(DIFFERENTIATION_UNMERGE_VD,MATCH(I8,DIFFERENTIATION_ID_DIFF,0)))</f>
        <v>Подключение (технологическое присоединение) к централизованной системе водоснабжения</v>
      </c>
      <c r="J9" s="2412" t="str">
        <f>IF(J8="","",INDEX(DIFFERENTIATION_UNMERGE_VD,MATCH(J8,DIFFERENTIATION_ID_DIFF,0)))</f>
        <v>Холодное водоснабжение. Техническая вода</v>
      </c>
      <c r="K9" s="2412" t="str">
        <f>IF(K8="","",INDEX(DIFFERENTIATION_UNMERGE_VD,MATCH(K8,DIFFERENTIATION_ID_DIFF,0)))</f>
        <v>Холодное водоснабжение. Подвозная вода</v>
      </c>
      <c r="L9" s="2412" t="str">
        <f>IF(L8="","",INDEX(DIFFERENTIATION_UNMERGE_VD,MATCH(L8,DIFFERENTIATION_ID_DIFF,0)))</f>
        <v>Холодное водоснабжение. Питьевая вода</v>
      </c>
      <c r="M9" s="2412" t="str">
        <f>IF(M8="","",INDEX(DIFFERENTIATION_UNMERGE_VD,MATCH(M8,DIFFERENTIATION_ID_DIFF,0)))</f>
        <v>Холодное водоснабжение. Питьевая вода</v>
      </c>
      <c r="N9" s="2412" t="str">
        <f>IF(N8="","",INDEX(DIFFERENTIATION_UNMERGE_VD,MATCH(N8,DIFFERENTIATION_ID_DIFF,0)))</f>
        <v>Холодное водоснабжение. Питьевая вода</v>
      </c>
      <c r="O9" s="2412" t="str">
        <f>IF(O8="","",INDEX(DIFFERENTIATION_UNMERGE_VD,MATCH(O8,DIFFERENTIATION_ID_DIFF,0)))</f>
        <v>Холодное водоснабжение. Питьевая вода</v>
      </c>
      <c r="P9" s="2412" t="str">
        <f>IF(P8="","",INDEX(DIFFERENTIATION_UNMERGE_VD,MATCH(P8,DIFFERENTIATION_ID_DIFF,0)))</f>
        <v>Холодное водоснабжение. Питьевая вода</v>
      </c>
      <c r="Q9" s="2412" t="str">
        <f>IF(Q8="","",INDEX(DIFFERENTIATION_UNMERGE_VD,MATCH(Q8,DIFFERENTIATION_ID_DIFF,0)))</f>
        <v>Холодное водоснабжение. Питьевая вода</v>
      </c>
      <c r="R9" s="2412" t="str">
        <f>IF(R8="","",INDEX(DIFFERENTIATION_UNMERGE_VD,MATCH(R8,DIFFERENTIATION_ID_DIFF,0)))</f>
        <v>Холодное водоснабжение. Питьевая вода</v>
      </c>
      <c r="S9" s="2412" t="str">
        <f>IF(S8="","",INDEX(DIFFERENTIATION_UNMERGE_VD,MATCH(S8,DIFFERENTIATION_ID_DIFF,0)))</f>
        <v>Холодное водоснабжение. Питьевая вода</v>
      </c>
      <c r="T9" s="2412" t="str">
        <f>IF(T8="","",INDEX(DIFFERENTIATION_UNMERGE_VD,MATCH(T8,DIFFERENTIATION_ID_DIFF,0)))</f>
        <v>Холодное водоснабжение. Питьевая вода</v>
      </c>
      <c r="U9" s="2412" t="str">
        <f>IF(U8="","",INDEX(DIFFERENTIATION_UNMERGE_VD,MATCH(U8,DIFFERENTIATION_ID_DIFF,0)))</f>
        <v>Холодное водоснабжение. Питьевая вода</v>
      </c>
      <c r="V9" s="2412" t="str">
        <f>IF(V8="","",INDEX(DIFFERENTIATION_UNMERGE_VD,MATCH(V8,DIFFERENTIATION_ID_DIFF,0)))</f>
        <v>Холодное водоснабжение. Питьевая вода</v>
      </c>
      <c r="W9" s="2412" t="str">
        <f>IF(W8="","",INDEX(DIFFERENTIATION_UNMERGE_VD,MATCH(W8,DIFFERENTIATION_ID_DIFF,0)))</f>
        <v>Холодное водоснабжение. Питьевая вода</v>
      </c>
      <c r="X9" s="2412" t="str">
        <f>IF(X8="","",INDEX(DIFFERENTIATION_UNMERGE_VD,MATCH(X8,DIFFERENTIATION_ID_DIFF,0)))</f>
        <v>Холодное водоснабжение. Питьевая вода</v>
      </c>
      <c r="Y9" s="2412" t="str">
        <f>IF(Y8="","",INDEX(DIFFERENTIATION_UNMERGE_VD,MATCH(Y8,DIFFERENTIATION_ID_DIFF,0)))</f>
        <v>Холодное водоснабжение. Питьевая вода</v>
      </c>
      <c r="Z9" s="2412" t="str">
        <f>IF(Z8="","",INDEX(DIFFERENTIATION_UNMERGE_VD,MATCH(Z8,DIFFERENTIATION_ID_DIFF,0)))</f>
        <v>Холодное водоснабжение. Питьевая вода</v>
      </c>
      <c r="AA9" s="2412" t="str">
        <f>IF(AA8="","",INDEX(DIFFERENTIATION_UNMERGE_VD,MATCH(AA8,DIFFERENTIATION_ID_DIFF,0)))</f>
        <v>Холодное водоснабжение. Питьевая вода</v>
      </c>
      <c r="AB9" s="2412" t="str">
        <f>IF(AB8="","",INDEX(DIFFERENTIATION_UNMERGE_VD,MATCH(AB8,DIFFERENTIATION_ID_DIFF,0)))</f>
        <v>Холодное водоснабжение. Питьевая вода</v>
      </c>
      <c r="AC9" s="2412" t="str">
        <f>IF(AC8="","",INDEX(DIFFERENTIATION_UNMERGE_VD,MATCH(AC8,DIFFERENTIATION_ID_DIFF,0)))</f>
        <v>Холодное водоснабжение. Питьевая вода</v>
      </c>
      <c r="AD9" s="2412" t="str">
        <f>IF(AD8="","",INDEX(DIFFERENTIATION_UNMERGE_VD,MATCH(AD8,DIFFERENTIATION_ID_DIFF,0)))</f>
        <v>Холодное водоснабжение. Питьевая вода</v>
      </c>
      <c r="AE9" s="2412" t="str">
        <f>IF(AE8="","",INDEX(DIFFERENTIATION_UNMERGE_VD,MATCH(AE8,DIFFERENTIATION_ID_DIFF,0)))</f>
        <v>Холодное водоснабжение. Питьевая вода</v>
      </c>
      <c r="AF9" s="2412" t="str">
        <f>IF(AF8="","",INDEX(DIFFERENTIATION_UNMERGE_VD,MATCH(AF8,DIFFERENTIATION_ID_DIFF,0)))</f>
        <v>Холодное водоснабжение. Питьевая вода</v>
      </c>
      <c r="AG9" s="2412" t="str">
        <f>IF(AG8="","",INDEX(DIFFERENTIATION_UNMERGE_VD,MATCH(AG8,DIFFERENTIATION_ID_DIFF,0)))</f>
        <v>Холодное водоснабжение. Питьевая вода</v>
      </c>
      <c r="AH9" s="2412" t="str">
        <f>IF(AH8="","",INDEX(DIFFERENTIATION_UNMERGE_VD,MATCH(AH8,DIFFERENTIATION_ID_DIFF,0)))</f>
        <v>Холодное водоснабжение. Питьевая вода</v>
      </c>
      <c r="AI9" s="2412" t="str">
        <f>IF(AI8="","",INDEX(DIFFERENTIATION_UNMERGE_VD,MATCH(AI8,DIFFERENTIATION_ID_DIFF,0)))</f>
        <v>Холодное водоснабжение. Питьевая вода</v>
      </c>
      <c r="AJ9" s="2412" t="str">
        <f>IF(AJ8="","",INDEX(DIFFERENTIATION_UNMERGE_VD,MATCH(AJ8,DIFFERENTIATION_ID_DIFF,0)))</f>
        <v>Холодное водоснабжение. Питьевая вода</v>
      </c>
      <c r="AK9" s="2412" t="str">
        <f>IF(AK8="","",INDEX(DIFFERENTIATION_UNMERGE_VD,MATCH(AK8,DIFFERENTIATION_ID_DIFF,0)))</f>
        <v>Подключение (технологическое присоединение) к централизованной системе водоснабжения</v>
      </c>
      <c r="AL9" s="2412" t="str">
        <f>IF(AL8="","",INDEX(DIFFERENTIATION_UNMERGE_VD,MATCH(AL8,DIFFERENTIATION_ID_DIFF,0)))</f>
        <v>Подключение (технологическое присоединение) к централизованной системе водоснабжения</v>
      </c>
      <c r="AM9" s="2412" t="str">
        <f>IF(AM8="","",INDEX(DIFFERENTIATION_UNMERGE_VD,MATCH(AM8,DIFFERENTIATION_ID_DIFF,0)))</f>
        <v>Подключение (технологическое присоединение) к централизованной системе водоснабжения</v>
      </c>
      <c r="AN9" s="2412" t="str">
        <f>IF(AN8="","",INDEX(DIFFERENTIATION_UNMERGE_VD,MATCH(AN8,DIFFERENTIATION_ID_DIFF,0)))</f>
        <v>Подключение (технологическое присоединение) к централизованной системе водоснабжения</v>
      </c>
      <c r="AO9" s="2412" t="str">
        <f>IF(AO8="","",INDEX(DIFFERENTIATION_UNMERGE_VD,MATCH(AO8,DIFFERENTIATION_ID_DIFF,0)))</f>
        <v>Подключение (технологическое присоединение) к централизованной системе водоснабжения</v>
      </c>
      <c r="AP9" s="2412" t="str">
        <f>IF(AP8="","",INDEX(DIFFERENTIATION_UNMERGE_VD,MATCH(AP8,DIFFERENTIATION_ID_DIFF,0)))</f>
        <v>Холодное водоснабжение. Подвозная вода</v>
      </c>
      <c r="AQ9" s="2412" t="str">
        <f>IF(AQ8="","",INDEX(DIFFERENTIATION_UNMERGE_VD,MATCH(AQ8,DIFFERENTIATION_ID_DIFF,0)))</f>
        <v>Холодное водоснабжение. Подвозная вода</v>
      </c>
      <c r="AR9" s="2412" t="str">
        <f>IF(AR8="","",INDEX(DIFFERENTIATION_UNMERGE_VD,MATCH(AR8,DIFFERENTIATION_ID_DIFF,0)))</f>
        <v>Холодное водоснабжение. Подвозная вода</v>
      </c>
      <c r="AS9" s="2412" t="str">
        <f>IF(AS8="","",INDEX(DIFFERENTIATION_UNMERGE_VD,MATCH(AS8,DIFFERENTIATION_ID_DIFF,0)))</f>
        <v>Холодное водоснабжение. Подвозная вода</v>
      </c>
      <c r="AT9" s="2412" t="str">
        <f>IF(AT8="","",INDEX(DIFFERENTIATION_UNMERGE_VD,MATCH(AT8,DIFFERENTIATION_ID_DIFF,0)))</f>
        <v>Холодное водоснабжение. Подвозная вода</v>
      </c>
      <c r="AU9" s="2144" t="s">
        <v>439</v>
      </c>
      <c r="BE9" s="509">
        <v>15</v>
      </c>
    </row>
    <row s="1639" customFormat="1" customHeight="1" ht="15.75">
      <c r="A10" s="763"/>
      <c r="C10" s="180"/>
      <c r="D10" s="715"/>
      <c r="E10" s="2384" t="s">
        <v>702</v>
      </c>
      <c r="F10" s="2385"/>
      <c r="G10" s="820" t="str">
        <f>IF(G8="","",INDEX(DIFFERENTIATION_UNMERGE_AREA,MATCH(G8,DIFFERENTIATION_ID_DIFF,0)))</f>
        <v/>
      </c>
      <c r="H10" s="820" t="str">
        <f>IF(H8="","",INDEX(DIFFERENTIATION_UNMERGE_AREA,MATCH(H8,DIFFERENTIATION_ID_DIFF,0)))</f>
        <v>Территория 1</v>
      </c>
      <c r="I10" s="2412" t="str">
        <f>IF(I8="","",INDEX(DIFFERENTIATION_UNMERGE_AREA,MATCH(I8,DIFFERENTIATION_ID_DIFF,0)))</f>
        <v>Территория 8</v>
      </c>
      <c r="J10" s="2412" t="str">
        <f>IF(J8="","",INDEX(DIFFERENTIATION_UNMERGE_AREA,MATCH(J8,DIFFERENTIATION_ID_DIFF,0)))</f>
        <v>Территория 9</v>
      </c>
      <c r="K10" s="2412" t="str">
        <f>IF(K8="","",INDEX(DIFFERENTIATION_UNMERGE_AREA,MATCH(K8,DIFFERENTIATION_ID_DIFF,0)))</f>
        <v>Территория 2</v>
      </c>
      <c r="L10" s="2412" t="str">
        <f>IF(L8="","",INDEX(DIFFERENTIATION_UNMERGE_AREA,MATCH(L8,DIFFERENTIATION_ID_DIFF,0)))</f>
        <v>Территория 1</v>
      </c>
      <c r="M10" s="2412" t="str">
        <f>IF(M8="","",INDEX(DIFFERENTIATION_UNMERGE_AREA,MATCH(M8,DIFFERENTIATION_ID_DIFF,0)))</f>
        <v>Территория 1</v>
      </c>
      <c r="N10" s="2412" t="str">
        <f>IF(N8="","",INDEX(DIFFERENTIATION_UNMERGE_AREA,MATCH(N8,DIFFERENTIATION_ID_DIFF,0)))</f>
        <v>Территория 1</v>
      </c>
      <c r="O10" s="2412" t="str">
        <f>IF(O8="","",INDEX(DIFFERENTIATION_UNMERGE_AREA,MATCH(O8,DIFFERENTIATION_ID_DIFF,0)))</f>
        <v>Территория 1</v>
      </c>
      <c r="P10" s="2412" t="str">
        <f>IF(P8="","",INDEX(DIFFERENTIATION_UNMERGE_AREA,MATCH(P8,DIFFERENTIATION_ID_DIFF,0)))</f>
        <v>Территория 1</v>
      </c>
      <c r="Q10" s="2412" t="str">
        <f>IF(Q8="","",INDEX(DIFFERENTIATION_UNMERGE_AREA,MATCH(Q8,DIFFERENTIATION_ID_DIFF,0)))</f>
        <v>Территория 1</v>
      </c>
      <c r="R10" s="2412" t="str">
        <f>IF(R8="","",INDEX(DIFFERENTIATION_UNMERGE_AREA,MATCH(R8,DIFFERENTIATION_ID_DIFF,0)))</f>
        <v>Территория 1</v>
      </c>
      <c r="S10" s="2412" t="str">
        <f>IF(S8="","",INDEX(DIFFERENTIATION_UNMERGE_AREA,MATCH(S8,DIFFERENTIATION_ID_DIFF,0)))</f>
        <v>Территория 2</v>
      </c>
      <c r="T10" s="2412" t="str">
        <f>IF(T8="","",INDEX(DIFFERENTIATION_UNMERGE_AREA,MATCH(T8,DIFFERENTIATION_ID_DIFF,0)))</f>
        <v>Территория 3</v>
      </c>
      <c r="U10" s="2412" t="str">
        <f>IF(U8="","",INDEX(DIFFERENTIATION_UNMERGE_AREA,MATCH(U8,DIFFERENTIATION_ID_DIFF,0)))</f>
        <v>Территория 4</v>
      </c>
      <c r="V10" s="2412" t="str">
        <f>IF(V8="","",INDEX(DIFFERENTIATION_UNMERGE_AREA,MATCH(V8,DIFFERENTIATION_ID_DIFF,0)))</f>
        <v>Территория 5</v>
      </c>
      <c r="W10" s="2412" t="str">
        <f>IF(W8="","",INDEX(DIFFERENTIATION_UNMERGE_AREA,MATCH(W8,DIFFERENTIATION_ID_DIFF,0)))</f>
        <v>Территория 6</v>
      </c>
      <c r="X10" s="2412" t="str">
        <f>IF(X8="","",INDEX(DIFFERENTIATION_UNMERGE_AREA,MATCH(X8,DIFFERENTIATION_ID_DIFF,0)))</f>
        <v>Территория 7</v>
      </c>
      <c r="Y10" s="2412" t="str">
        <f>IF(Y8="","",INDEX(DIFFERENTIATION_UNMERGE_AREA,MATCH(Y8,DIFFERENTIATION_ID_DIFF,0)))</f>
        <v>Территория 8</v>
      </c>
      <c r="Z10" s="2412" t="str">
        <f>IF(Z8="","",INDEX(DIFFERENTIATION_UNMERGE_AREA,MATCH(Z8,DIFFERENTIATION_ID_DIFF,0)))</f>
        <v>Территория 9</v>
      </c>
      <c r="AA10" s="2412" t="str">
        <f>IF(AA8="","",INDEX(DIFFERENTIATION_UNMERGE_AREA,MATCH(AA8,DIFFERENTIATION_ID_DIFF,0)))</f>
        <v>Территория 10</v>
      </c>
      <c r="AB10" s="2412" t="str">
        <f>IF(AB8="","",INDEX(DIFFERENTIATION_UNMERGE_AREA,MATCH(AB8,DIFFERENTIATION_ID_DIFF,0)))</f>
        <v>Территория 11</v>
      </c>
      <c r="AC10" s="2412" t="str">
        <f>IF(AC8="","",INDEX(DIFFERENTIATION_UNMERGE_AREA,MATCH(AC8,DIFFERENTIATION_ID_DIFF,0)))</f>
        <v>Территория 12</v>
      </c>
      <c r="AD10" s="2412" t="str">
        <f>IF(AD8="","",INDEX(DIFFERENTIATION_UNMERGE_AREA,MATCH(AD8,DIFFERENTIATION_ID_DIFF,0)))</f>
        <v>Территория 3</v>
      </c>
      <c r="AE10" s="2412" t="str">
        <f>IF(AE8="","",INDEX(DIFFERENTIATION_UNMERGE_AREA,MATCH(AE8,DIFFERENTIATION_ID_DIFF,0)))</f>
        <v>Территория 4</v>
      </c>
      <c r="AF10" s="2412" t="str">
        <f>IF(AF8="","",INDEX(DIFFERENTIATION_UNMERGE_AREA,MATCH(AF8,DIFFERENTIATION_ID_DIFF,0)))</f>
        <v>Территория 8</v>
      </c>
      <c r="AG10" s="2412" t="str">
        <f>IF(AG8="","",INDEX(DIFFERENTIATION_UNMERGE_AREA,MATCH(AG8,DIFFERENTIATION_ID_DIFF,0)))</f>
        <v>Территория 8</v>
      </c>
      <c r="AH10" s="2412" t="str">
        <f>IF(AH8="","",INDEX(DIFFERENTIATION_UNMERGE_AREA,MATCH(AH8,DIFFERENTIATION_ID_DIFF,0)))</f>
        <v>Территория 8</v>
      </c>
      <c r="AI10" s="2412" t="str">
        <f>IF(AI8="","",INDEX(DIFFERENTIATION_UNMERGE_AREA,MATCH(AI8,DIFFERENTIATION_ID_DIFF,0)))</f>
        <v>Территория 9</v>
      </c>
      <c r="AJ10" s="2412" t="str">
        <f>IF(AJ8="","",INDEX(DIFFERENTIATION_UNMERGE_AREA,MATCH(AJ8,DIFFERENTIATION_ID_DIFF,0)))</f>
        <v>Территория 11</v>
      </c>
      <c r="AK10" s="2412" t="str">
        <f>IF(AK8="","",INDEX(DIFFERENTIATION_UNMERGE_AREA,MATCH(AK8,DIFFERENTIATION_ID_DIFF,0)))</f>
        <v>Территория 9</v>
      </c>
      <c r="AL10" s="2412" t="str">
        <f>IF(AL8="","",INDEX(DIFFERENTIATION_UNMERGE_AREA,MATCH(AL8,DIFFERENTIATION_ID_DIFF,0)))</f>
        <v>Территория 6</v>
      </c>
      <c r="AM10" s="2412" t="str">
        <f>IF(AM8="","",INDEX(DIFFERENTIATION_UNMERGE_AREA,MATCH(AM8,DIFFERENTIATION_ID_DIFF,0)))</f>
        <v>Территория 7</v>
      </c>
      <c r="AN10" s="2412" t="str">
        <f>IF(AN8="","",INDEX(DIFFERENTIATION_UNMERGE_AREA,MATCH(AN8,DIFFERENTIATION_ID_DIFF,0)))</f>
        <v>Территория 11</v>
      </c>
      <c r="AO10" s="2412" t="str">
        <f>IF(AO8="","",INDEX(DIFFERENTIATION_UNMERGE_AREA,MATCH(AO8,DIFFERENTIATION_ID_DIFF,0)))</f>
        <v>Территория 1</v>
      </c>
      <c r="AP10" s="2412" t="str">
        <f>IF(AP8="","",INDEX(DIFFERENTIATION_UNMERGE_AREA,MATCH(AP8,DIFFERENTIATION_ID_DIFF,0)))</f>
        <v>Территория 7</v>
      </c>
      <c r="AQ10" s="2412" t="str">
        <f>IF(AQ8="","",INDEX(DIFFERENTIATION_UNMERGE_AREA,MATCH(AQ8,DIFFERENTIATION_ID_DIFF,0)))</f>
        <v>Территория 5</v>
      </c>
      <c r="AR10" s="2412" t="str">
        <f>IF(AR8="","",INDEX(DIFFERENTIATION_UNMERGE_AREA,MATCH(AR8,DIFFERENTIATION_ID_DIFF,0)))</f>
        <v>Территория 4</v>
      </c>
      <c r="AS10" s="2412" t="str">
        <f>IF(AS8="","",INDEX(DIFFERENTIATION_UNMERGE_AREA,MATCH(AS8,DIFFERENTIATION_ID_DIFF,0)))</f>
        <v>Территория 8</v>
      </c>
      <c r="AT10" s="2412" t="str">
        <f>IF(AT8="","",INDEX(DIFFERENTIATION_UNMERGE_AREA,MATCH(AT8,DIFFERENTIATION_ID_DIFF,0)))</f>
        <v>Территория 6</v>
      </c>
      <c r="AU10" s="2144"/>
      <c r="BD10" s="679"/>
      <c r="BE10" s="762">
        <v>15</v>
      </c>
    </row>
    <row s="1639" customFormat="1" customHeight="1" ht="15.75">
      <c r="A11" s="763"/>
      <c r="C11" s="180"/>
      <c r="D11" s="715"/>
      <c r="E11" s="2384" t="s">
        <v>703</v>
      </c>
      <c r="F11" s="2385"/>
      <c r="G11" s="820" t="str">
        <f>IF(G8="","",INDEX(DIFFERENTIATION_UNMERGE_SYSTEM,MATCH(G8,DIFFERENTIATION_ID_DIFF,0)))</f>
        <v/>
      </c>
      <c r="H11" s="820" t="str">
        <f>IF(H8="","",INDEX(DIFFERENTIATION_UNMERGE_SYSTEM,MATCH(H8,DIFFERENTIATION_ID_DIFF,0)))</f>
        <v>Централизованная система водоснабжения Барабашского сельского поселения</v>
      </c>
      <c r="I11" s="2412" t="str">
        <f>IF(I8="","",INDEX(DIFFERENTIATION_UNMERGE_SYSTEM,MATCH(I8,DIFFERENTIATION_ID_DIFF,0)))</f>
        <v>Черниговский МР</v>
      </c>
      <c r="J11" s="2412" t="str">
        <f>IF(J8="","",INDEX(DIFFERENTIATION_UNMERGE_SYSTEM,MATCH(J8,DIFFERENTIATION_ID_DIFF,0)))</f>
        <v> Городской округ Спасск-Дальний, Городской округ Спасск-Дальний (05720000)</v>
      </c>
      <c r="K11" s="2412" t="str">
        <f>IF(K8="","",INDEX(DIFFERENTIATION_UNMERGE_SYSTEM,MATCH(K8,DIFFERENTIATION_ID_DIFF,0)))</f>
        <v>Анучинский муниципальный округ, Анучинский муниципальный округ (05502000)</v>
      </c>
      <c r="L11" s="2412" t="str">
        <f>IF(L8="","",INDEX(DIFFERENTIATION_UNMERGE_SYSTEM,MATCH(L8,DIFFERENTIATION_ID_DIFF,0)))</f>
        <v>Централизованная система водоснабжения Барабашского сельского поселения.Военный городок</v>
      </c>
      <c r="M11" s="2412" t="str">
        <f>IF(M8="","",INDEX(DIFFERENTIATION_UNMERGE_SYSTEM,MATCH(M8,DIFFERENTIATION_ID_DIFF,0)))</f>
        <v>Централизованная система водоснабжения Безверховского сельского поселения</v>
      </c>
      <c r="N11" s="2412" t="str">
        <f>IF(N8="","",INDEX(DIFFERENTIATION_UNMERGE_SYSTEM,MATCH(N8,DIFFERENTIATION_ID_DIFF,0)))</f>
        <v>Централизованная система водоснабжения Краскинского городского поселения</v>
      </c>
      <c r="O11" s="2412" t="str">
        <f>IF(O8="","",INDEX(DIFFERENTIATION_UNMERGE_SYSTEM,MATCH(O8,DIFFERENTIATION_ID_DIFF,0)))</f>
        <v>Централизованная система водоснабжения Посьетского городского поселения</v>
      </c>
      <c r="P11" s="2412" t="str">
        <f>IF(P8="","",INDEX(DIFFERENTIATION_UNMERGE_SYSTEM,MATCH(P8,DIFFERENTIATION_ID_DIFF,0)))</f>
        <v>Централизованная система водоснабжения Приморского городского поселения</v>
      </c>
      <c r="Q11" s="2412" t="str">
        <f>IF(Q8="","",INDEX(DIFFERENTIATION_UNMERGE_SYSTEM,MATCH(Q8,DIFFERENTIATION_ID_DIFF,0)))</f>
        <v>Централизованная система водоснабжения пгт.Зарубино Хасанского муниципального округа</v>
      </c>
      <c r="R11" s="2412" t="str">
        <f>IF(R8="","",INDEX(DIFFERENTIATION_UNMERGE_SYSTEM,MATCH(R8,DIFFERENTIATION_ID_DIFF,0)))</f>
        <v>Централизованная система водоснабжения пгт. Хасан Хасанского муниципального округа</v>
      </c>
      <c r="S11" s="2412" t="str">
        <f>IF(S8="","",INDEX(DIFFERENTIATION_UNMERGE_SYSTEM,MATCH(S8,DIFFERENTIATION_ID_DIFF,0)))</f>
        <v>Централизованная система водоснабжения Анучинского сельского поселения</v>
      </c>
      <c r="T11" s="2412" t="str">
        <f>IF(T8="","",INDEX(DIFFERENTIATION_UNMERGE_SYSTEM,MATCH(T8,DIFFERENTIATION_ID_DIFF,0)))</f>
        <v>Централизованная система водоснабжения Романовского сельского поселения</v>
      </c>
      <c r="U11" s="2412" t="str">
        <f>IF(U8="","",INDEX(DIFFERENTIATION_UNMERGE_SYSTEM,MATCH(U8,DIFFERENTIATION_ID_DIFF,0)))</f>
        <v>Централизованная система водоснабжения городского округа ЗАТО город Фокино</v>
      </c>
      <c r="V11" s="2412" t="str">
        <f>IF(V8="","",INDEX(DIFFERENTIATION_UNMERGE_SYSTEM,MATCH(V8,DIFFERENTIATION_ID_DIFF,0)))</f>
        <v>Централизованная система водоснабжения Новошахтинского городского поселения</v>
      </c>
      <c r="W11" s="2412" t="str">
        <f>IF(W8="","",INDEX(DIFFERENTIATION_UNMERGE_SYSTEM,MATCH(W8,DIFFERENTIATION_ID_DIFF,0)))</f>
        <v>Централизованная система водоснабжения Дальнегорского городского округа</v>
      </c>
      <c r="X11" s="2412" t="str">
        <f>IF(X8="","",INDEX(DIFFERENTIATION_UNMERGE_SYSTEM,MATCH(X8,DIFFERENTIATION_ID_DIFF,0)))</f>
        <v>Централизованная система водоснабжения Кавалеровского муниципального района</v>
      </c>
      <c r="Y11" s="2412" t="str">
        <f>IF(Y8="","",INDEX(DIFFERENTIATION_UNMERGE_SYSTEM,MATCH(Y8,DIFFERENTIATION_ID_DIFF,0)))</f>
        <v>Централизованная система водоснабжения Дмитриевского сельского поселения</v>
      </c>
      <c r="Z11" s="2412" t="str">
        <f>IF(Z8="","",INDEX(DIFFERENTIATION_UNMERGE_SYSTEM,MATCH(Z8,DIFFERENTIATION_ID_DIFF,0)))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A11" s="2412" t="str">
        <f>IF(AA8="","",INDEX(DIFFERENTIATION_UNMERGE_SYSTEM,MATCH(AA8,DIFFERENTIATION_ID_DIFF,0)))</f>
        <v>Централизованная система водоснабжения Глубинненского сельского поселения</v>
      </c>
      <c r="AB11" s="2412" t="str">
        <f>IF(AB8="","",INDEX(DIFFERENTIATION_UNMERGE_SYSTEM,MATCH(AB8,DIFFERENTIATION_ID_DIFF,0)))</f>
        <v>Централизованная система водоснабжения  Дальнереченского городского округа</v>
      </c>
      <c r="AC11" s="2412" t="str">
        <f>IF(AC8="","",INDEX(DIFFERENTIATION_UNMERGE_SYSTEM,MATCH(AC8,DIFFERENTIATION_ID_DIFF,0)))</f>
        <v>Централизованная истема водоснабжения Варфоломеевского сельского поселения (железнодорожная станция Варфоломеевка)</v>
      </c>
      <c r="AD11" s="2412" t="str">
        <f>IF(AD8="","",INDEX(DIFFERENTIATION_UNMERGE_SYSTEM,MATCH(AD8,DIFFERENTIATION_ID_DIFF,0)))</f>
        <v>Централизованная система водоснабжения Штыковского сельского поселения</v>
      </c>
      <c r="AE11" s="2412" t="str">
        <f>IF(AE8="","",INDEX(DIFFERENTIATION_UNMERGE_SYSTEM,MATCH(AE8,DIFFERENTIATION_ID_DIFF,0)))</f>
        <v>Централизованная система водоснабжения городского округа ЗАТО город Фокино (п.Путятин)</v>
      </c>
      <c r="AF11" s="2412" t="str">
        <f>IF(AF8="","",INDEX(DIFFERENTIATION_UNMERGE_SYSTEM,MATCH(AF8,DIFFERENTIATION_ID_DIFF,0)))</f>
        <v>Централизованная система водоснабжения Реттиховского сельского поселения</v>
      </c>
      <c r="AG11" s="2412" t="str">
        <f>IF(AG8="","",INDEX(DIFFERENTIATION_UNMERGE_SYSTEM,MATCH(AG8,DIFFERENTIATION_ID_DIFF,0)))</f>
        <v>Централизованная система водоснабжения Снегуровского сельского поселения </v>
      </c>
      <c r="AH11" s="2412" t="str">
        <f>IF(AH8="","",INDEX(DIFFERENTIATION_UNMERGE_SYSTEM,MATCH(AH8,DIFFERENTIATION_ID_DIFF,0)))</f>
        <v>Централизованная система водоснабжения Черниговского сельского поселения</v>
      </c>
      <c r="AI11" s="2412" t="str">
        <f>IF(AI8="","",INDEX(DIFFERENTIATION_UNMERGE_SYSTEM,MATCH(AI8,DIFFERENTIATION_ID_DIFF,0)))</f>
        <v>Централизованная система водоснабжения городского округа Спасск-Дальний МКР Лазо</v>
      </c>
      <c r="AJ11" s="2412" t="str">
        <f>IF(AJ8="","",INDEX(DIFFERENTIATION_UNMERGE_SYSTEM,MATCH(AJ8,DIFFERENTIATION_ID_DIFF,0)))</f>
        <v>Централизованная система водоснабжения  Дальнереченского городского округа (в.г.Графский)</v>
      </c>
      <c r="AK11" s="2412" t="str">
        <f>IF(AK8="","",INDEX(DIFFERENTIATION_UNMERGE_SYSTEM,MATCH(AK8,DIFFERENTIATION_ID_DIFF,0)))</f>
        <v>Городской округ Спасск-Дальний</v>
      </c>
      <c r="AL11" s="2412" t="str">
        <f>IF(AL8="","",INDEX(DIFFERENTIATION_UNMERGE_SYSTEM,MATCH(AL8,DIFFERENTIATION_ID_DIFF,0)))</f>
        <v>Дальнегорский ГО</v>
      </c>
      <c r="AM11" s="2412" t="str">
        <f>IF(AM8="","",INDEX(DIFFERENTIATION_UNMERGE_SYSTEM,MATCH(AM8,DIFFERENTIATION_ID_DIFF,0)))</f>
        <v>Кавалеровский МО</v>
      </c>
      <c r="AN11" s="2412" t="str">
        <f>IF(AN8="","",INDEX(DIFFERENTIATION_UNMERGE_SYSTEM,MATCH(AN8,DIFFERENTIATION_ID_DIFF,0)))</f>
        <v>Дальнереченский ГО</v>
      </c>
      <c r="AO11" s="2412" t="str">
        <f>IF(AO8="","",INDEX(DIFFERENTIATION_UNMERGE_SYSTEM,MATCH(AO8,DIFFERENTIATION_ID_DIFF,0)))</f>
        <v>пгт Посьет Хасанский муниципальный округ</v>
      </c>
      <c r="AP11" s="2412" t="str">
        <f>IF(AP8="","",INDEX(DIFFERENTIATION_UNMERGE_SYSTEM,MATCH(AP8,DIFFERENTIATION_ID_DIFF,0)))</f>
        <v>Кавалеровский муниципальный район, Кавалеровкое городское поселение (05610151)</v>
      </c>
      <c r="AQ11" s="2412" t="str">
        <f>IF(AQ8="","",INDEX(DIFFERENTIATION_UNMERGE_SYSTEM,MATCH(AQ8,DIFFERENTIATION_ID_DIFF,0)))</f>
        <v> Михайловский муниципальный район, Новошахтинское городское поселение (05620154)</v>
      </c>
      <c r="AR11" s="2412" t="str">
        <f>IF(AR8="","",INDEX(DIFFERENTIATION_UNMERGE_SYSTEM,MATCH(AR8,DIFFERENTIATION_ID_DIFF,0)))</f>
        <v>Городской округ ЗАТО г.Фокино (пгт. Путятин)</v>
      </c>
      <c r="AS11" s="2412" t="str">
        <f>IF(AS8="","",INDEX(DIFFERENTIATION_UNMERGE_SYSTEM,MATCH(AS8,DIFFERENTIATION_ID_DIFF,0)))</f>
        <v> Черниговский муниципальный район, Черниговское сельское поселение (05653425)</v>
      </c>
      <c r="AT11" s="2412" t="str">
        <f>IF(AT8="","",INDEX(DIFFERENTIATION_UNMERGE_SYSTEM,MATCH(AT8,DIFFERENTIATION_ID_DIFF,0)))</f>
        <v> Дальнегорский городской округ, Дальнегорский городской округ (05707000)</v>
      </c>
      <c r="AU11" s="2144"/>
      <c r="BD11" s="679"/>
      <c r="BE11" s="762">
        <v>15</v>
      </c>
    </row>
    <row s="1639" customFormat="1" customHeight="1" ht="15.75">
      <c r="A12" s="763"/>
      <c r="C12" s="180"/>
      <c r="D12" s="2386" t="s">
        <v>438</v>
      </c>
      <c r="E12" s="2387"/>
      <c r="F12" s="2387"/>
      <c r="G12" s="891"/>
      <c r="H12" s="891"/>
      <c r="I12" s="2384"/>
      <c r="J12" s="2384"/>
      <c r="K12" s="2384"/>
      <c r="L12" s="2384"/>
      <c r="M12" s="2384"/>
      <c r="N12" s="2384"/>
      <c r="O12" s="2384"/>
      <c r="P12" s="2384"/>
      <c r="Q12" s="2384"/>
      <c r="R12" s="2384"/>
      <c r="S12" s="2384"/>
      <c r="T12" s="2384"/>
      <c r="U12" s="2384"/>
      <c r="V12" s="2384"/>
      <c r="W12" s="2384"/>
      <c r="X12" s="2384"/>
      <c r="Y12" s="2384"/>
      <c r="Z12" s="2384"/>
      <c r="AA12" s="2384"/>
      <c r="AB12" s="2384"/>
      <c r="AC12" s="2384"/>
      <c r="AD12" s="2384"/>
      <c r="AE12" s="2384"/>
      <c r="AF12" s="2384"/>
      <c r="AG12" s="2384"/>
      <c r="AH12" s="2384"/>
      <c r="AI12" s="2384"/>
      <c r="AJ12" s="2384"/>
      <c r="AK12" s="2384"/>
      <c r="AL12" s="2384"/>
      <c r="AM12" s="2384"/>
      <c r="AN12" s="2384"/>
      <c r="AO12" s="2384"/>
      <c r="AP12" s="2384"/>
      <c r="AQ12" s="2384"/>
      <c r="AR12" s="2384"/>
      <c r="AS12" s="2384"/>
      <c r="AT12" s="2384"/>
      <c r="AU12" s="2144"/>
      <c r="BD12" s="679"/>
      <c r="BE12" s="762">
        <v>15</v>
      </c>
    </row>
    <row customHeight="1" ht="35.699999999999996">
      <c r="C13" s="180"/>
      <c r="D13" s="765" t="s">
        <v>87</v>
      </c>
      <c r="E13" s="764" t="s">
        <v>440</v>
      </c>
      <c r="F13" s="764" t="s">
        <v>704</v>
      </c>
      <c r="G13" s="812" t="s">
        <v>441</v>
      </c>
      <c r="H13" s="758" t="s">
        <v>441</v>
      </c>
      <c r="I13" s="2279" t="s">
        <v>441</v>
      </c>
      <c r="J13" s="2279" t="s">
        <v>441</v>
      </c>
      <c r="K13" s="2279" t="s">
        <v>441</v>
      </c>
      <c r="L13" s="2279" t="s">
        <v>441</v>
      </c>
      <c r="M13" s="2279" t="s">
        <v>441</v>
      </c>
      <c r="N13" s="2279" t="s">
        <v>441</v>
      </c>
      <c r="O13" s="2279" t="s">
        <v>441</v>
      </c>
      <c r="P13" s="2279" t="s">
        <v>441</v>
      </c>
      <c r="Q13" s="2279" t="s">
        <v>441</v>
      </c>
      <c r="R13" s="2279" t="s">
        <v>441</v>
      </c>
      <c r="S13" s="2279" t="s">
        <v>441</v>
      </c>
      <c r="T13" s="2279" t="s">
        <v>441</v>
      </c>
      <c r="U13" s="2279" t="s">
        <v>441</v>
      </c>
      <c r="V13" s="2279" t="s">
        <v>441</v>
      </c>
      <c r="W13" s="2279" t="s">
        <v>441</v>
      </c>
      <c r="X13" s="2279" t="s">
        <v>441</v>
      </c>
      <c r="Y13" s="2279" t="s">
        <v>441</v>
      </c>
      <c r="Z13" s="2279" t="s">
        <v>441</v>
      </c>
      <c r="AA13" s="2279" t="s">
        <v>441</v>
      </c>
      <c r="AB13" s="2279" t="s">
        <v>441</v>
      </c>
      <c r="AC13" s="2279" t="s">
        <v>441</v>
      </c>
      <c r="AD13" s="2279" t="s">
        <v>441</v>
      </c>
      <c r="AE13" s="2279" t="s">
        <v>441</v>
      </c>
      <c r="AF13" s="2279" t="s">
        <v>441</v>
      </c>
      <c r="AG13" s="2279" t="s">
        <v>441</v>
      </c>
      <c r="AH13" s="2279" t="s">
        <v>441</v>
      </c>
      <c r="AI13" s="2279" t="s">
        <v>441</v>
      </c>
      <c r="AJ13" s="2279" t="s">
        <v>441</v>
      </c>
      <c r="AK13" s="2279" t="s">
        <v>441</v>
      </c>
      <c r="AL13" s="2279" t="s">
        <v>441</v>
      </c>
      <c r="AM13" s="2279" t="s">
        <v>441</v>
      </c>
      <c r="AN13" s="2279" t="s">
        <v>441</v>
      </c>
      <c r="AO13" s="2279" t="s">
        <v>441</v>
      </c>
      <c r="AP13" s="2279" t="s">
        <v>441</v>
      </c>
      <c r="AQ13" s="2279" t="s">
        <v>441</v>
      </c>
      <c r="AR13" s="2279" t="s">
        <v>441</v>
      </c>
      <c r="AS13" s="2279" t="s">
        <v>441</v>
      </c>
      <c r="AT13" s="2279" t="s">
        <v>441</v>
      </c>
      <c r="AU13" s="2144"/>
      <c r="BE13" s="509">
        <v>34</v>
      </c>
    </row>
    <row customHeight="1" ht="15" hidden="1">
      <c r="C14" s="180"/>
      <c r="D14" s="597" t="s">
        <v>105</v>
      </c>
      <c r="E14" s="597" t="s">
        <v>102</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687" t="str">
        <f>W1&amp;".1"</f>
        <v>.1</v>
      </c>
      <c r="X14" s="687" t="str">
        <f>X1&amp;".1"</f>
        <v>.1</v>
      </c>
      <c r="Y14" s="687" t="str">
        <f>Y1&amp;".1"</f>
        <v>.1</v>
      </c>
      <c r="Z14" s="687" t="str">
        <f>Z1&amp;".1"</f>
        <v>.1</v>
      </c>
      <c r="AA14" s="687" t="str">
        <f>AA1&amp;".1"</f>
        <v>.1</v>
      </c>
      <c r="AB14" s="687" t="str">
        <f>AB1&amp;".1"</f>
        <v>.1</v>
      </c>
      <c r="AC14" s="687" t="str">
        <f>AC1&amp;".1"</f>
        <v>.1</v>
      </c>
      <c r="AD14" s="687" t="str">
        <f>AD1&amp;".1"</f>
        <v>.1</v>
      </c>
      <c r="AE14" s="687" t="str">
        <f>AE1&amp;".1"</f>
        <v>.1</v>
      </c>
      <c r="AF14" s="687" t="str">
        <f>AF1&amp;".1"</f>
        <v>.1</v>
      </c>
      <c r="AG14" s="687" t="str">
        <f>AG1&amp;".1"</f>
        <v>.1</v>
      </c>
      <c r="AH14" s="687" t="str">
        <f>AH1&amp;".1"</f>
        <v>.1</v>
      </c>
      <c r="AI14" s="687" t="str">
        <f>AI1&amp;".1"</f>
        <v>.1</v>
      </c>
      <c r="AJ14" s="687" t="str">
        <f>AJ1&amp;".1"</f>
        <v>.1</v>
      </c>
      <c r="AK14" s="687" t="str">
        <f>AK1&amp;".1"</f>
        <v>.1</v>
      </c>
      <c r="AL14" s="687" t="str">
        <f>AL1&amp;".1"</f>
        <v>.1</v>
      </c>
      <c r="AM14" s="687" t="str">
        <f>AM1&amp;".1"</f>
        <v>.1</v>
      </c>
      <c r="AN14" s="687" t="str">
        <f>AN1&amp;".1"</f>
        <v>.1</v>
      </c>
      <c r="AO14" s="687" t="str">
        <f>AO1&amp;".1"</f>
        <v>.1</v>
      </c>
      <c r="AP14" s="687" t="str">
        <f>AP1&amp;".1"</f>
        <v>.1</v>
      </c>
      <c r="AQ14" s="687" t="str">
        <f>AQ1&amp;".1"</f>
        <v>.1</v>
      </c>
      <c r="AR14" s="687" t="str">
        <f>AR1&amp;".1"</f>
        <v>.1</v>
      </c>
      <c r="AS14" s="687" t="str">
        <f>AS1&amp;".1"</f>
        <v>.1</v>
      </c>
      <c r="AT14" s="687" t="str">
        <f>AT1&amp;".1"</f>
        <v>.1</v>
      </c>
      <c r="AU14" s="293"/>
      <c r="BE14" s="509">
        <v>0</v>
      </c>
    </row>
    <row customHeight="1" ht="15.75">
      <c r="A15" s="509"/>
      <c r="C15" s="530"/>
      <c r="D15" s="525">
        <v>1</v>
      </c>
      <c r="E15" s="1931" t="str">
        <f>TP_P_A</f>
        <v>Количество поданных заявлений </v>
      </c>
      <c r="F15" s="525" t="s">
        <v>1448</v>
      </c>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c r="AT15" s="689"/>
      <c r="AU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BE15" s="509">
        <v>15</v>
      </c>
    </row>
    <row customHeight="1" ht="15.75">
      <c r="A16" s="509"/>
      <c r="C16" s="530"/>
      <c r="D16" s="525">
        <v>2</v>
      </c>
      <c r="E16" s="1931" t="str">
        <f>TP_P_B</f>
        <v>Количество исполненных заявлений </v>
      </c>
      <c r="F16" s="525" t="s">
        <v>1448</v>
      </c>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c r="AT16" s="689"/>
      <c r="AU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BE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1448</v>
      </c>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BE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444</v>
      </c>
      <c r="G18" s="690"/>
      <c r="H18" s="690"/>
      <c r="I18" s="2370"/>
      <c r="J18" s="2370"/>
      <c r="K18" s="2370"/>
      <c r="L18" s="2370"/>
      <c r="M18" s="2370"/>
      <c r="N18" s="2370"/>
      <c r="O18" s="2370"/>
      <c r="P18" s="2370"/>
      <c r="Q18" s="2370"/>
      <c r="R18" s="2370"/>
      <c r="S18" s="2370"/>
      <c r="T18" s="2370"/>
      <c r="U18" s="2370"/>
      <c r="V18" s="2370"/>
      <c r="W18" s="2370"/>
      <c r="X18" s="2370"/>
      <c r="Y18" s="2370"/>
      <c r="Z18" s="2370"/>
      <c r="AA18" s="2370"/>
      <c r="AB18" s="2370"/>
      <c r="AC18" s="2370"/>
      <c r="AD18" s="2370"/>
      <c r="AE18" s="2370"/>
      <c r="AF18" s="2370"/>
      <c r="AG18" s="2370"/>
      <c r="AH18" s="2370"/>
      <c r="AI18" s="2370"/>
      <c r="AJ18" s="2370"/>
      <c r="AK18" s="2370"/>
      <c r="AL18" s="2370"/>
      <c r="AM18" s="2370"/>
      <c r="AN18" s="2370"/>
      <c r="AO18" s="2370"/>
      <c r="AP18" s="2370"/>
      <c r="AQ18" s="2370"/>
      <c r="AR18" s="2370"/>
      <c r="AS18" s="2370"/>
      <c r="AT18" s="2370"/>
      <c r="AU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BE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691">
        <f>SUM(J20:J22)</f>
        <v>0</v>
      </c>
      <c r="K19" s="691">
        <f>SUM(K20:K22)</f>
        <v>0</v>
      </c>
      <c r="L19" s="691">
        <f>SUM(L20:L22)</f>
        <v>0</v>
      </c>
      <c r="M19" s="691">
        <f>SUM(M20:M22)</f>
        <v>0</v>
      </c>
      <c r="N19" s="691">
        <f>SUM(N20:N22)</f>
        <v>0</v>
      </c>
      <c r="O19" s="691">
        <f>SUM(O20:O22)</f>
        <v>0</v>
      </c>
      <c r="P19" s="691">
        <f>SUM(P20:P22)</f>
        <v>0</v>
      </c>
      <c r="Q19" s="691">
        <f>SUM(Q20:Q22)</f>
        <v>0</v>
      </c>
      <c r="R19" s="691">
        <f>SUM(R20:R22)</f>
        <v>0</v>
      </c>
      <c r="S19" s="691">
        <f>SUM(S20:S22)</f>
        <v>0</v>
      </c>
      <c r="T19" s="691">
        <f>SUM(T20:T22)</f>
        <v>0</v>
      </c>
      <c r="U19" s="691">
        <f>SUM(U20:U22)</f>
        <v>0</v>
      </c>
      <c r="V19" s="691">
        <f>SUM(V20:V22)</f>
        <v>0</v>
      </c>
      <c r="W19" s="691">
        <f>SUM(W20:W22)</f>
        <v>0</v>
      </c>
      <c r="X19" s="691">
        <f>SUM(X20:X22)</f>
        <v>0</v>
      </c>
      <c r="Y19" s="691">
        <f>SUM(Y20:Y22)</f>
        <v>0</v>
      </c>
      <c r="Z19" s="691">
        <f>SUM(Z20:Z22)</f>
        <v>0</v>
      </c>
      <c r="AA19" s="691">
        <f>SUM(AA20:AA22)</f>
        <v>0</v>
      </c>
      <c r="AB19" s="691">
        <f>SUM(AB20:AB22)</f>
        <v>0</v>
      </c>
      <c r="AC19" s="691">
        <f>SUM(AC20:AC22)</f>
        <v>0</v>
      </c>
      <c r="AD19" s="691">
        <f>SUM(AD20:AD22)</f>
        <v>0</v>
      </c>
      <c r="AE19" s="691">
        <f>SUM(AE20:AE22)</f>
        <v>0</v>
      </c>
      <c r="AF19" s="691">
        <f>SUM(AF20:AF22)</f>
        <v>0</v>
      </c>
      <c r="AG19" s="691">
        <f>SUM(AG20:AG22)</f>
        <v>0</v>
      </c>
      <c r="AH19" s="691">
        <f>SUM(AH20:AH22)</f>
        <v>0</v>
      </c>
      <c r="AI19" s="691">
        <f>SUM(AI20:AI22)</f>
        <v>0</v>
      </c>
      <c r="AJ19" s="691">
        <f>SUM(AJ20:AJ22)</f>
        <v>0</v>
      </c>
      <c r="AK19" s="691">
        <f>SUM(AK20:AK22)</f>
        <v>0</v>
      </c>
      <c r="AL19" s="691">
        <f>SUM(AL20:AL22)</f>
        <v>0</v>
      </c>
      <c r="AM19" s="691">
        <f>SUM(AM20:AM22)</f>
        <v>0</v>
      </c>
      <c r="AN19" s="691">
        <f>SUM(AN20:AN22)</f>
        <v>0</v>
      </c>
      <c r="AO19" s="691">
        <f>SUM(AO20:AO22)</f>
        <v>0</v>
      </c>
      <c r="AP19" s="691">
        <f>SUM(AP20:AP22)</f>
        <v>0</v>
      </c>
      <c r="AQ19" s="691">
        <f>SUM(AQ20:AQ22)</f>
        <v>0</v>
      </c>
      <c r="AR19" s="691">
        <f>SUM(AR20:AR22)</f>
        <v>0</v>
      </c>
      <c r="AS19" s="691">
        <f>SUM(AS20:AS22)</f>
        <v>0</v>
      </c>
      <c r="AT19" s="691">
        <f>SUM(AT20:AT22)</f>
        <v>0</v>
      </c>
      <c r="AU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BE19" s="509">
        <v>57</v>
      </c>
    </row>
    <row customHeight="1" ht="15" hidden="1">
      <c r="D20" s="513" t="s">
        <v>1449</v>
      </c>
      <c r="E20" s="692"/>
      <c r="F20" s="513"/>
      <c r="G20" s="513"/>
      <c r="H20" s="513"/>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766"/>
      <c r="BE20" s="509">
        <v>0</v>
      </c>
    </row>
    <row customHeight="1" ht="29.25">
      <c r="C21" s="455"/>
      <c r="D21" s="543" t="s">
        <v>451</v>
      </c>
      <c r="E21" s="674"/>
      <c r="F21" s="1764" t="str">
        <f>IF(TEMPLATE_SPHERE="HEAT","Гкал/час","тыс. куб. м/сутки")</f>
        <v>тыс. куб. м/сутки</v>
      </c>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218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BE21" s="509">
        <v>28</v>
      </c>
    </row>
    <row customHeight="1" ht="15.75">
      <c r="A22" s="509"/>
      <c r="C22" s="509"/>
      <c r="D22" s="351"/>
      <c r="E22" s="584" t="s">
        <v>1450</v>
      </c>
      <c r="F22" s="576"/>
      <c r="G22" s="576"/>
      <c r="H22" s="576"/>
      <c r="I22" s="5094"/>
      <c r="J22" s="5095"/>
      <c r="K22" s="5096"/>
      <c r="L22" s="5097"/>
      <c r="M22" s="5098"/>
      <c r="N22" s="5099"/>
      <c r="O22" s="5100"/>
      <c r="P22" s="5101"/>
      <c r="Q22" s="5102"/>
      <c r="R22" s="5103"/>
      <c r="S22" s="5104"/>
      <c r="T22" s="5105"/>
      <c r="U22" s="5106"/>
      <c r="V22" s="5107"/>
      <c r="W22" s="5108"/>
      <c r="X22" s="5109"/>
      <c r="Y22" s="5110"/>
      <c r="Z22" s="5111"/>
      <c r="AA22" s="5112"/>
      <c r="AB22" s="5113"/>
      <c r="AC22" s="5114"/>
      <c r="AD22" s="5115"/>
      <c r="AE22" s="5116"/>
      <c r="AF22" s="5117"/>
      <c r="AG22" s="5118"/>
      <c r="AH22" s="5119"/>
      <c r="AI22" s="5120"/>
      <c r="AJ22" s="5121"/>
      <c r="AK22" s="5122"/>
      <c r="AL22" s="5123"/>
      <c r="AM22" s="5125"/>
      <c r="AN22" s="5126"/>
      <c r="AO22" s="5128"/>
      <c r="AP22" s="5130"/>
      <c r="AQ22" s="5131"/>
      <c r="AR22" s="5132"/>
      <c r="AS22" s="5133"/>
      <c r="AT22" s="5134"/>
      <c r="AU22" s="2188"/>
      <c r="BD22" s="509"/>
      <c r="BE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1639">
        <v>0</v>
      </c>
      <c r="X23" s="1639">
        <v>0</v>
      </c>
      <c r="Y23" s="1639">
        <v>0</v>
      </c>
      <c r="Z23" s="1639">
        <v>0</v>
      </c>
      <c r="AA23" s="1639">
        <v>0</v>
      </c>
      <c r="AB23" s="1639">
        <v>0</v>
      </c>
      <c r="AC23" s="1639">
        <v>0</v>
      </c>
      <c r="AD23" s="1639">
        <v>0</v>
      </c>
      <c r="AE23" s="1639">
        <v>0</v>
      </c>
      <c r="AF23" s="1639">
        <v>0</v>
      </c>
      <c r="AG23" s="1639">
        <v>0</v>
      </c>
      <c r="AH23" s="1639">
        <v>0</v>
      </c>
      <c r="AI23" s="1639">
        <v>0</v>
      </c>
      <c r="AJ23" s="1639">
        <v>0</v>
      </c>
      <c r="AK23" s="1639">
        <v>0</v>
      </c>
      <c r="AL23" s="1639">
        <v>0</v>
      </c>
      <c r="AM23" s="1639">
        <v>0</v>
      </c>
      <c r="AN23" s="1639">
        <v>0</v>
      </c>
      <c r="AO23" s="1639">
        <v>0</v>
      </c>
      <c r="AP23" s="1639">
        <v>0</v>
      </c>
      <c r="AQ23" s="1639">
        <v>0</v>
      </c>
      <c r="AR23" s="1639">
        <v>0</v>
      </c>
      <c r="AS23" s="1639">
        <v>0</v>
      </c>
      <c r="AT23" s="1639">
        <v>0</v>
      </c>
      <c r="AU23" s="421">
        <v>93</v>
      </c>
      <c r="AV23" s="509">
        <v>10</v>
      </c>
      <c r="AW23" s="509">
        <v>10</v>
      </c>
      <c r="AX23" s="509">
        <v>10</v>
      </c>
      <c r="AY23" s="509">
        <v>10</v>
      </c>
      <c r="AZ23" s="509">
        <v>10</v>
      </c>
      <c r="BA23" s="509">
        <v>10</v>
      </c>
      <c r="BB23" s="509">
        <v>10</v>
      </c>
      <c r="BC23" s="509">
        <v>10</v>
      </c>
      <c r="BD23" s="679">
        <v>10</v>
      </c>
      <c r="BE23" s="509">
        <v>23</v>
      </c>
    </row>
  </sheetData>
  <sheetProtection formatColumns="0" formatRows="0" autoFilter="0" sort="0" insertRows="0" insertColumns="1" deleteRows="0" deleteColumns="0"/>
  <mergeCells count="8">
    <mergeCell ref="AU21:AU22"/>
    <mergeCell ref="AU9:AU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T18">
      <formula1>900</formula1>
    </dataValidation>
    <dataValidation type="whole" allowBlank="1" showErrorMessage="1" errorTitle="Ошибка" error="Допускается ввод только неотрицательных целых чисел!" sqref="G15:AT17">
      <formula1>0</formula1>
      <formula2>9.99999999999999E+23</formula2>
    </dataValidation>
    <dataValidation type="decimal" allowBlank="1" showErrorMessage="1" errorTitle="Ошибка" error="Допускается ввод только действительных чисел!" sqref="G2:AT2 G21:AT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0D9A-541F-9608-7819-2C220FF5C813}"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2"/>
      <c r="F5" s="2472"/>
      <c r="G5" s="2473"/>
      <c r="Q5" s="87">
        <v>28</v>
      </c>
    </row>
    <row s="1639" customFormat="1" customHeight="1" ht="18.75">
      <c r="A6" s="886"/>
      <c r="B6" s="421"/>
      <c r="C6" s="380"/>
      <c r="D6" s="2474" t="str">
        <f>IF(org=0,"Не определено",org)</f>
        <v>КГУП "Примтеплоэнерго"</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438</v>
      </c>
      <c r="E9" s="2226"/>
      <c r="F9" s="2226"/>
      <c r="G9" s="2406" t="s">
        <v>439</v>
      </c>
      <c r="Q9" s="87">
        <v>14</v>
      </c>
    </row>
    <row customHeight="1" ht="24">
      <c r="C10" s="100"/>
      <c r="D10" s="109" t="s">
        <v>87</v>
      </c>
      <c r="E10" s="112" t="s">
        <v>440</v>
      </c>
      <c r="F10" s="112" t="s">
        <v>528</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444</v>
      </c>
      <c r="G12" s="155"/>
      <c r="Q12" s="87">
        <v>62</v>
      </c>
    </row>
    <row customHeight="1" ht="24">
      <c r="A13" s="196"/>
      <c r="C13" s="100"/>
      <c r="D13" s="151" t="s">
        <v>1352</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444</v>
      </c>
      <c r="G13" s="155"/>
      <c r="Q13" s="87">
        <v>23</v>
      </c>
    </row>
    <row customHeight="1" ht="14.699999999999998">
      <c r="A14" s="196"/>
      <c r="C14" s="100"/>
      <c r="D14" s="151" t="s">
        <v>1388</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1451</v>
      </c>
      <c r="F15" s="205"/>
      <c r="G15" s="2188"/>
      <c r="Q15" s="87">
        <v>15</v>
      </c>
    </row>
    <row customHeight="1" ht="14.699999999999998">
      <c r="A16" s="196"/>
      <c r="C16" s="100"/>
      <c r="D16" s="151" t="s">
        <v>1354</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444</v>
      </c>
      <c r="G16" s="341"/>
      <c r="Q16" s="87">
        <v>14</v>
      </c>
    </row>
    <row customHeight="1" ht="14.699999999999998">
      <c r="A17" s="196"/>
      <c r="C17" s="100"/>
      <c r="D17" s="151" t="s">
        <v>1396</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1452</v>
      </c>
      <c r="F18" s="342"/>
      <c r="G18" s="2188"/>
      <c r="I18" s="354"/>
      <c r="J18" s="354"/>
      <c r="Q18" s="346">
        <v>21</v>
      </c>
    </row>
    <row s="1639" customFormat="1" customHeight="1" ht="256.5" hidden="1">
      <c r="A19" s="347"/>
      <c r="B19" s="421"/>
      <c r="C19" s="380"/>
      <c r="D19" s="888" t="s">
        <v>1356</v>
      </c>
      <c r="E19" s="887" t="s">
        <v>1453</v>
      </c>
      <c r="F19" s="389"/>
      <c r="G19" s="341" t="s">
        <v>1454</v>
      </c>
      <c r="I19" s="504"/>
      <c r="J19" s="504"/>
      <c r="Q19" s="762">
        <v>0</v>
      </c>
    </row>
    <row s="1639" customFormat="1" customHeight="1" ht="14.699999999999998">
      <c r="A20" s="347"/>
      <c r="B20" s="150"/>
      <c r="C20" s="311"/>
      <c r="D20" s="889">
        <v>2</v>
      </c>
      <c r="E20" s="334" t="s">
        <v>1455</v>
      </c>
      <c r="F20" s="202" t="s">
        <v>444</v>
      </c>
      <c r="G20" s="341"/>
      <c r="I20" s="354"/>
      <c r="J20" s="354"/>
      <c r="Q20" s="346">
        <v>14</v>
      </c>
    </row>
    <row s="1639" customFormat="1" customHeight="1" ht="18.75" hidden="1">
      <c r="A21" s="347"/>
      <c r="B21" s="150"/>
      <c r="C21" s="311"/>
      <c r="D21" s="337" t="s">
        <v>819</v>
      </c>
      <c r="E21" s="336"/>
      <c r="F21" s="335"/>
      <c r="G21" s="345"/>
      <c r="H21" s="338"/>
      <c r="I21" s="354"/>
      <c r="J21" s="354"/>
      <c r="Q21" s="346">
        <v>0</v>
      </c>
    </row>
    <row customHeight="1" ht="15.75">
      <c r="A22" s="196"/>
      <c r="C22" s="100"/>
      <c r="D22" s="113"/>
      <c r="E22" s="207" t="s">
        <v>460</v>
      </c>
      <c r="F22" s="342"/>
      <c r="G22" s="343"/>
      <c r="Q22" s="87">
        <v>15</v>
      </c>
    </row>
    <row s="1639" customFormat="1" customHeight="1" ht="22.5" hidden="1">
      <c r="A23" s="347"/>
      <c r="B23" s="1164"/>
      <c r="C23" s="380"/>
      <c r="D23" s="1676" t="s">
        <v>102</v>
      </c>
      <c r="E23" s="201" t="s">
        <v>1456</v>
      </c>
      <c r="F23" s="1673" t="s">
        <v>444</v>
      </c>
      <c r="G23" s="349"/>
      <c r="I23" s="1628"/>
      <c r="J23" s="1628"/>
      <c r="Q23" s="1635">
        <v>0</v>
      </c>
    </row>
    <row s="1639" customFormat="1" customHeight="1" ht="14.25" hidden="1">
      <c r="A24" s="347"/>
      <c r="B24" s="1164"/>
      <c r="C24" s="380"/>
      <c r="D24" s="1676" t="s">
        <v>891</v>
      </c>
      <c r="E24" s="1675" t="s">
        <v>1457</v>
      </c>
      <c r="F24" s="1673" t="s">
        <v>444</v>
      </c>
      <c r="G24" s="341"/>
      <c r="I24" s="1628"/>
      <c r="J24" s="1628"/>
      <c r="Q24" s="1635">
        <v>0</v>
      </c>
    </row>
    <row s="1639" customFormat="1" customHeight="1" ht="14.25" hidden="1">
      <c r="A25" s="347"/>
      <c r="B25" s="1164"/>
      <c r="C25" s="380"/>
      <c r="D25" s="1676" t="s">
        <v>894</v>
      </c>
      <c r="E25" s="199"/>
      <c r="F25" s="389"/>
      <c r="G25" s="2186" t="s">
        <v>1458</v>
      </c>
      <c r="I25" s="1628"/>
      <c r="J25" s="1628"/>
      <c r="Q25" s="1635">
        <v>0</v>
      </c>
    </row>
    <row s="1639" customFormat="1" customHeight="1" ht="14.25" hidden="1">
      <c r="A26" s="347"/>
      <c r="B26" s="1164"/>
      <c r="C26" s="380"/>
      <c r="D26" s="351"/>
      <c r="E26" s="353" t="s">
        <v>1459</v>
      </c>
      <c r="F26" s="342"/>
      <c r="G26" s="2188"/>
      <c r="I26" s="1628"/>
      <c r="J26" s="1628"/>
      <c r="Q26" s="1635">
        <v>0</v>
      </c>
    </row>
    <row s="1639" customFormat="1" customHeight="1" ht="33.75" hidden="1">
      <c r="A27" s="347"/>
      <c r="B27" s="1370"/>
      <c r="C27" s="380"/>
      <c r="D27" s="2080" t="s">
        <v>89</v>
      </c>
      <c r="E27" s="201" t="s">
        <v>1460</v>
      </c>
      <c r="F27" s="2081" t="s">
        <v>444</v>
      </c>
      <c r="G27" s="1529"/>
      <c r="I27" s="1628"/>
      <c r="J27" s="1628"/>
      <c r="Q27" s="1635">
        <v>0</v>
      </c>
    </row>
    <row s="1639" customFormat="1" customHeight="1" ht="22.5" hidden="1">
      <c r="A28" s="347"/>
      <c r="B28" s="1370"/>
      <c r="C28" s="380"/>
      <c r="D28" s="2080" t="s">
        <v>462</v>
      </c>
      <c r="E28" s="2082" t="s">
        <v>1461</v>
      </c>
      <c r="F28" s="2081" t="s">
        <v>444</v>
      </c>
      <c r="G28" s="341"/>
      <c r="I28" s="1628"/>
      <c r="J28" s="1628"/>
      <c r="Q28" s="1635">
        <v>0</v>
      </c>
    </row>
    <row s="1639" customFormat="1" customHeight="1" ht="14.25" hidden="1">
      <c r="A29" s="347"/>
      <c r="B29" s="1370"/>
      <c r="C29" s="380"/>
      <c r="D29" s="2080" t="s">
        <v>464</v>
      </c>
      <c r="E29" s="2627"/>
      <c r="F29" s="666"/>
      <c r="G29" s="2186" t="s">
        <v>1462</v>
      </c>
      <c r="I29" s="1628"/>
      <c r="J29" s="1628"/>
      <c r="Q29" s="1635">
        <v>0</v>
      </c>
    </row>
    <row s="1639" customFormat="1" customHeight="1" ht="14.25" hidden="1">
      <c r="A30" s="347"/>
      <c r="B30" s="1370"/>
      <c r="C30" s="380"/>
      <c r="D30" s="351"/>
      <c r="E30" s="575" t="s">
        <v>1459</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20E98-7554-3588-A3E8-8DCB34E7959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103</v>
      </c>
      <c r="D2" s="1676"/>
      <c r="E2" s="203"/>
      <c r="F2" s="1673"/>
      <c r="G2" s="1673" t="s">
        <v>444</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103</v>
      </c>
      <c r="D4" s="1676"/>
      <c r="E4" s="209" t="s">
        <v>1463</v>
      </c>
      <c r="F4" s="1673"/>
      <c r="G4" s="261"/>
      <c r="H4" s="1673" t="s">
        <v>444</v>
      </c>
      <c r="K4" s="1628"/>
      <c r="L4" s="1628"/>
      <c r="M4" s="1635">
        <v>0</v>
      </c>
    </row>
    <row s="1639" customFormat="1" customHeight="1" ht="14.25" hidden="1">
      <c r="A5" s="1366"/>
      <c r="B5" s="1164"/>
      <c r="C5" s="348"/>
      <c r="K5" s="1628"/>
      <c r="L5" s="1628"/>
      <c r="M5" s="1635">
        <v>0</v>
      </c>
    </row>
    <row s="1639" customFormat="1" customHeight="1" ht="18.75" hidden="1">
      <c r="A6" s="1686"/>
      <c r="B6" s="1164"/>
      <c r="C6" s="1733" t="s">
        <v>103</v>
      </c>
      <c r="D6" s="1676"/>
      <c r="E6" s="210" t="s">
        <v>1464</v>
      </c>
      <c r="F6" s="1673"/>
      <c r="G6" s="261"/>
      <c r="H6" s="1673" t="s">
        <v>444</v>
      </c>
      <c r="K6" s="1628"/>
      <c r="L6" s="1628"/>
      <c r="M6" s="1635">
        <v>0</v>
      </c>
    </row>
    <row s="1639" customFormat="1" customHeight="1" ht="14.25" hidden="1">
      <c r="A7" s="1366"/>
      <c r="B7" s="1164"/>
      <c r="C7" s="348"/>
      <c r="K7" s="1628"/>
      <c r="L7" s="1628"/>
      <c r="M7" s="1635">
        <v>0</v>
      </c>
    </row>
    <row s="1639" customFormat="1" customHeight="1" ht="18.75" hidden="1">
      <c r="A8" s="1686"/>
      <c r="B8" s="1164"/>
      <c r="C8" s="1733" t="s">
        <v>103</v>
      </c>
      <c r="D8" s="1676"/>
      <c r="E8" s="210" t="s">
        <v>1465</v>
      </c>
      <c r="F8" s="1673"/>
      <c r="G8" s="261"/>
      <c r="H8" s="1673" t="s">
        <v>444</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103</v>
      </c>
      <c r="D10" s="1676"/>
      <c r="E10" s="210" t="s">
        <v>1466</v>
      </c>
      <c r="F10" s="1673"/>
      <c r="G10" s="1677"/>
      <c r="H10" s="1673" t="s">
        <v>444</v>
      </c>
      <c r="K10" s="1628"/>
      <c r="L10" s="1628" t="s">
        <v>1467</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2"/>
      <c r="F14" s="2472"/>
      <c r="G14" s="2472"/>
      <c r="H14" s="2473"/>
      <c r="J14" s="1635"/>
      <c r="M14" s="87">
        <v>28</v>
      </c>
    </row>
    <row s="1639" customFormat="1" customHeight="1" ht="14.699999999999998">
      <c r="A15" s="1366"/>
      <c r="B15" s="1164"/>
      <c r="C15" s="380"/>
      <c r="D15" s="2474" t="str">
        <f>IF(org=0,"Не определено",org)</f>
        <v>КГУП "Примтеплоэнерго"</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438</v>
      </c>
      <c r="E18" s="2226"/>
      <c r="F18" s="2226"/>
      <c r="G18" s="2226"/>
      <c r="H18" s="2226"/>
      <c r="I18" s="2406" t="s">
        <v>439</v>
      </c>
      <c r="M18" s="87">
        <v>21</v>
      </c>
    </row>
    <row customHeight="1" ht="22.049999999999997">
      <c r="C19" s="100"/>
      <c r="D19" s="109" t="s">
        <v>87</v>
      </c>
      <c r="E19" s="112" t="s">
        <v>440</v>
      </c>
      <c r="F19" s="112"/>
      <c r="G19" s="112" t="s">
        <v>441</v>
      </c>
      <c r="H19" s="112" t="s">
        <v>528</v>
      </c>
      <c r="I19" s="2406"/>
      <c r="M19" s="87">
        <v>21</v>
      </c>
    </row>
    <row customHeight="1" ht="12" hidden="1">
      <c r="C20" s="100"/>
      <c r="D20" s="91"/>
      <c r="E20" s="91"/>
      <c r="F20" s="91"/>
      <c r="G20" s="91"/>
      <c r="H20" s="91"/>
      <c r="I20" s="91"/>
      <c r="M20" s="87">
        <v>0</v>
      </c>
    </row>
    <row customHeight="1" ht="14.699999999999998">
      <c r="A21" s="1686"/>
      <c r="C21" s="100"/>
      <c r="D21" s="151">
        <v>1</v>
      </c>
      <c r="E21" s="2478" t="s">
        <v>1468</v>
      </c>
      <c r="F21" s="2478"/>
      <c r="G21" s="2478"/>
      <c r="H21" s="2478"/>
      <c r="I21" s="212"/>
      <c r="M21" s="87">
        <v>14</v>
      </c>
    </row>
    <row customHeight="1" ht="21">
      <c r="A22" s="1686"/>
      <c r="C22" s="100"/>
      <c r="D22" s="151" t="s">
        <v>1352</v>
      </c>
      <c r="E22" s="198" t="s">
        <v>1469</v>
      </c>
      <c r="F22" s="202"/>
      <c r="G22" s="1740"/>
      <c r="H22" s="202" t="s">
        <v>444</v>
      </c>
      <c r="I22" s="155" t="s">
        <v>1470</v>
      </c>
      <c r="M22" s="87">
        <v>20</v>
      </c>
    </row>
    <row customHeight="1" ht="60">
      <c r="A23" s="1686"/>
      <c r="C23" s="100"/>
      <c r="D23" s="151" t="s">
        <v>1354</v>
      </c>
      <c r="E23" s="198" t="s">
        <v>1471</v>
      </c>
      <c r="F23" s="202"/>
      <c r="G23" s="261"/>
      <c r="H23" s="217"/>
      <c r="I23" s="262" t="s">
        <v>1472</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444</v>
      </c>
      <c r="H24" s="217"/>
      <c r="I24" s="263" t="s">
        <v>814</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462</v>
      </c>
      <c r="E26" s="203"/>
      <c r="F26" s="202"/>
      <c r="G26" s="202" t="s">
        <v>444</v>
      </c>
      <c r="H26" s="217"/>
      <c r="I26" s="2186" t="s">
        <v>1473</v>
      </c>
      <c r="M26" s="87">
        <v>14</v>
      </c>
    </row>
    <row customHeight="1" ht="15.75">
      <c r="A27" s="1686" t="s">
        <v>105</v>
      </c>
      <c r="C27" s="100"/>
      <c r="D27" s="113"/>
      <c r="E27" s="207" t="s">
        <v>460</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7"/>
      <c r="G28" s="2477"/>
      <c r="H28" s="2477"/>
      <c r="I28" s="260"/>
      <c r="M28" s="87">
        <v>38</v>
      </c>
    </row>
    <row customHeight="1" ht="21">
      <c r="A29" s="1686"/>
      <c r="C29" s="100"/>
      <c r="D29" s="151" t="s">
        <v>942</v>
      </c>
      <c r="E29" s="209" t="s">
        <v>1463</v>
      </c>
      <c r="F29" s="202"/>
      <c r="G29" s="261"/>
      <c r="H29" s="202" t="s">
        <v>444</v>
      </c>
      <c r="I29" s="2186" t="s">
        <v>1474</v>
      </c>
      <c r="M29" s="87">
        <v>20</v>
      </c>
    </row>
    <row customHeight="1" ht="15.75">
      <c r="A30" s="1686" t="s">
        <v>102</v>
      </c>
      <c r="C30" s="100"/>
      <c r="D30" s="113"/>
      <c r="E30" s="207" t="s">
        <v>460</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7"/>
      <c r="G31" s="2477"/>
      <c r="H31" s="2477"/>
      <c r="I31" s="260"/>
      <c r="M31" s="87">
        <v>30</v>
      </c>
    </row>
    <row customHeight="1" ht="27.299999999999997">
      <c r="A32" s="1686"/>
      <c r="C32" s="100"/>
      <c r="D32" s="151" t="s">
        <v>451</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0"/>
      <c r="G32" s="2420"/>
      <c r="H32" s="2420"/>
      <c r="I32" s="260"/>
      <c r="M32" s="87">
        <v>26</v>
      </c>
    </row>
    <row customHeight="1" ht="14.699999999999998">
      <c r="A33" s="1686"/>
      <c r="C33" s="100"/>
      <c r="D33" s="151" t="s">
        <v>1475</v>
      </c>
      <c r="E33" s="210" t="s">
        <v>1464</v>
      </c>
      <c r="F33" s="202"/>
      <c r="G33" s="261"/>
      <c r="H33" s="202" t="s">
        <v>444</v>
      </c>
      <c r="I33" s="2186" t="s">
        <v>1476</v>
      </c>
      <c r="M33" s="87">
        <v>14</v>
      </c>
    </row>
    <row customHeight="1" ht="15.75">
      <c r="A34" s="1686" t="s">
        <v>89</v>
      </c>
      <c r="C34" s="100"/>
      <c r="D34" s="113"/>
      <c r="E34" s="208" t="s">
        <v>460</v>
      </c>
      <c r="F34" s="204"/>
      <c r="G34" s="204"/>
      <c r="H34" s="205"/>
      <c r="I34" s="2188"/>
      <c r="M34" s="87">
        <v>15</v>
      </c>
    </row>
    <row customHeight="1" ht="25.2">
      <c r="A35" s="1686"/>
      <c r="C35" s="100"/>
      <c r="D35" s="151" t="s">
        <v>1082</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0"/>
      <c r="G35" s="2420"/>
      <c r="H35" s="2420"/>
      <c r="I35" s="260"/>
      <c r="M35" s="87">
        <v>24</v>
      </c>
    </row>
    <row customHeight="1" ht="14.699999999999998">
      <c r="A36" s="1686"/>
      <c r="C36" s="100"/>
      <c r="D36" s="151" t="s">
        <v>1477</v>
      </c>
      <c r="E36" s="210" t="s">
        <v>1465</v>
      </c>
      <c r="F36" s="202"/>
      <c r="G36" s="261"/>
      <c r="H36" s="202" t="s">
        <v>444</v>
      </c>
      <c r="I36" s="2160" t="s">
        <v>1478</v>
      </c>
      <c r="M36" s="87">
        <v>14</v>
      </c>
    </row>
    <row customHeight="1" ht="15.75">
      <c r="A37" s="1686" t="s">
        <v>90</v>
      </c>
      <c r="C37" s="100"/>
      <c r="D37" s="113"/>
      <c r="E37" s="208" t="s">
        <v>460</v>
      </c>
      <c r="F37" s="204"/>
      <c r="G37" s="204"/>
      <c r="H37" s="205"/>
      <c r="I37" s="2160"/>
      <c r="M37" s="87">
        <v>15</v>
      </c>
    </row>
    <row customHeight="1" ht="27.299999999999997">
      <c r="A38" s="1686"/>
      <c r="C38" s="100"/>
      <c r="D38" s="151" t="s">
        <v>1083</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0"/>
      <c r="G38" s="2420"/>
      <c r="H38" s="2420"/>
      <c r="I38" s="260"/>
      <c r="M38" s="87">
        <v>26</v>
      </c>
    </row>
    <row customHeight="1" ht="14.699999999999998">
      <c r="A39" s="1686"/>
      <c r="C39" s="100"/>
      <c r="D39" s="151" t="s">
        <v>1084</v>
      </c>
      <c r="E39" s="210" t="s">
        <v>1466</v>
      </c>
      <c r="F39" s="202"/>
      <c r="G39" s="211"/>
      <c r="H39" s="202" t="s">
        <v>444</v>
      </c>
      <c r="I39" s="2186" t="s">
        <v>1479</v>
      </c>
      <c r="L39" s="159" t="s">
        <v>1467</v>
      </c>
      <c r="M39" s="87">
        <v>14</v>
      </c>
    </row>
    <row customHeight="1" ht="15.75">
      <c r="A40" s="1686" t="s">
        <v>120</v>
      </c>
      <c r="C40" s="100"/>
      <c r="D40" s="113"/>
      <c r="E40" s="208" t="s">
        <v>460</v>
      </c>
      <c r="F40" s="204"/>
      <c r="G40" s="204"/>
      <c r="H40" s="205"/>
      <c r="I40" s="2188"/>
      <c r="M40" s="87">
        <v>15</v>
      </c>
    </row>
    <row s="1826" customFormat="1" customHeight="1" ht="3">
      <c r="A41" s="1686"/>
      <c r="K41" s="200"/>
      <c r="L41" s="200"/>
      <c r="M41" s="144">
        <v>3</v>
      </c>
    </row>
    <row customHeight="1" ht="26.25">
      <c r="D42" s="1684" t="s">
        <v>1004</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5C2F8-6BB4-9488-F518-7CDB0BE779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295</v>
      </c>
      <c r="B2" s="1783" t="s">
        <v>296</v>
      </c>
      <c r="C2" s="373"/>
      <c r="D2" s="348"/>
      <c r="E2" s="1035"/>
      <c r="F2" s="1035"/>
      <c r="G2" s="2444" t="str">
        <f>INDEX(PT_DIFFERENTIATION_NTAR,MATCH(B2,PT_DIFFERENTIATION_NTAR_ID,0))</f>
        <v/>
      </c>
      <c r="H2" s="1865"/>
      <c r="I2" s="1742"/>
      <c r="J2" s="1776"/>
      <c r="K2" s="1866"/>
      <c r="L2" s="1865" t="s">
        <v>444</v>
      </c>
      <c r="M2" s="1876"/>
      <c r="N2" s="338"/>
      <c r="O2" s="1628"/>
      <c r="P2" s="1628"/>
      <c r="AH2" s="1635">
        <v>0</v>
      </c>
    </row>
    <row s="1639" customFormat="1" customHeight="1" ht="18.75" hidden="1">
      <c r="A3" s="1783"/>
      <c r="B3" s="1783"/>
      <c r="C3" s="373" t="s">
        <v>1480</v>
      </c>
      <c r="D3" s="348"/>
      <c r="E3" s="1035"/>
      <c r="F3" s="1035"/>
      <c r="G3" s="2444"/>
      <c r="H3" s="1504"/>
      <c r="I3" s="655" t="s">
        <v>1481</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295</v>
      </c>
      <c r="B5" s="1783" t="s">
        <v>296</v>
      </c>
      <c r="C5" s="373"/>
      <c r="D5" s="348"/>
      <c r="E5" s="1035"/>
      <c r="F5" s="1035"/>
      <c r="G5" s="2444" t="str">
        <f>INDEX(PT_DIFFERENTIATION_NTAR,MATCH(B5,PT_DIFFERENTIATION_NTAR_ID,0))</f>
        <v/>
      </c>
      <c r="H5" s="1865"/>
      <c r="I5" s="1742"/>
      <c r="J5" s="1776"/>
      <c r="K5" s="1781"/>
      <c r="L5" s="1865" t="s">
        <v>444</v>
      </c>
      <c r="M5" s="1876"/>
      <c r="N5" s="338"/>
      <c r="O5" s="1628"/>
      <c r="P5" s="1628"/>
      <c r="AH5" s="1635">
        <v>0</v>
      </c>
    </row>
    <row s="1639" customFormat="1" customHeight="1" ht="18.75" hidden="1">
      <c r="A6" s="1783"/>
      <c r="B6" s="1783"/>
      <c r="C6" s="373" t="s">
        <v>1482</v>
      </c>
      <c r="D6" s="348"/>
      <c r="E6" s="1035"/>
      <c r="F6" s="1035"/>
      <c r="G6" s="2444"/>
      <c r="H6" s="1504"/>
      <c r="I6" s="655" t="s">
        <v>1481</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444</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444</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438</v>
      </c>
      <c r="F19" s="2226"/>
      <c r="G19" s="2226"/>
      <c r="H19" s="2226"/>
      <c r="I19" s="2226"/>
      <c r="J19" s="2226"/>
      <c r="K19" s="2226"/>
      <c r="L19" s="2226"/>
      <c r="M19" s="2406" t="s">
        <v>439</v>
      </c>
      <c r="AH19" s="378">
        <v>21</v>
      </c>
    </row>
    <row customHeight="1" ht="22.049999999999997">
      <c r="D20" s="380"/>
      <c r="E20" s="2294" t="s">
        <v>87</v>
      </c>
      <c r="F20" s="2241" t="s">
        <v>266</v>
      </c>
      <c r="G20" s="2241" t="s">
        <v>267</v>
      </c>
      <c r="H20" s="2403" t="s">
        <v>1483</v>
      </c>
      <c r="I20" s="2404"/>
      <c r="J20" s="2450"/>
      <c r="K20" s="2241" t="s">
        <v>441</v>
      </c>
      <c r="L20" s="2241" t="s">
        <v>528</v>
      </c>
      <c r="M20" s="2406"/>
      <c r="AH20" s="378">
        <v>21</v>
      </c>
    </row>
    <row customHeight="1" ht="22.049999999999997">
      <c r="D21" s="380"/>
      <c r="E21" s="2296"/>
      <c r="F21" s="2242"/>
      <c r="G21" s="2242"/>
      <c r="H21" s="2235" t="s">
        <v>1484</v>
      </c>
      <c r="I21" s="2237"/>
      <c r="J21" s="112" t="s">
        <v>1485</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105</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444</v>
      </c>
      <c r="L23" s="2478"/>
      <c r="M23" s="1772"/>
      <c r="N23" s="338"/>
      <c r="AH23" s="378">
        <v>19</v>
      </c>
    </row>
    <row customHeight="1" ht="60.75" hidden="1">
      <c r="A24" s="1783" t="s">
        <v>295</v>
      </c>
      <c r="B24" s="1783" t="s">
        <v>296</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444</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1480</v>
      </c>
      <c r="D25" s="2483"/>
      <c r="E25" s="2221"/>
      <c r="F25" s="2487"/>
      <c r="G25" s="2444"/>
      <c r="H25" s="1504"/>
      <c r="I25" s="655" t="s">
        <v>1481</v>
      </c>
      <c r="J25" s="575"/>
      <c r="K25" s="1504"/>
      <c r="L25" s="218"/>
      <c r="M25" s="2187"/>
      <c r="N25" s="338"/>
      <c r="O25" s="1628"/>
      <c r="P25" s="1628"/>
      <c r="AH25" s="1635">
        <v>0</v>
      </c>
    </row>
    <row customHeight="1" ht="0.75" hidden="1">
      <c r="A26" s="1783"/>
      <c r="B26" s="1783"/>
      <c r="C26" s="373" t="s">
        <v>1486</v>
      </c>
      <c r="D26" s="2483"/>
      <c r="E26" s="2221"/>
      <c r="F26" s="2400"/>
      <c r="G26" s="404"/>
      <c r="H26" s="1504"/>
      <c r="I26" s="399"/>
      <c r="J26" s="353"/>
      <c r="K26" s="1504"/>
      <c r="L26" s="205"/>
      <c r="M26" s="2187"/>
      <c r="N26" s="338"/>
      <c r="AH26" s="378">
        <v>0</v>
      </c>
    </row>
    <row s="1639" customFormat="1" customHeight="1" ht="45" hidden="1">
      <c r="A27" s="1783" t="s">
        <v>300</v>
      </c>
      <c r="B27" s="1783" t="s">
        <v>301</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444</v>
      </c>
      <c r="M27" s="2187"/>
      <c r="N27" s="338"/>
      <c r="O27" s="1628"/>
      <c r="P27" s="1628"/>
      <c r="AH27" s="1635">
        <v>0</v>
      </c>
    </row>
    <row s="1639" customFormat="1" customHeight="1" ht="18.75" hidden="1">
      <c r="A28" s="1783"/>
      <c r="B28" s="1783"/>
      <c r="C28" s="373" t="s">
        <v>1480</v>
      </c>
      <c r="D28" s="2479"/>
      <c r="E28" s="2480"/>
      <c r="F28" s="2481"/>
      <c r="G28" s="2444"/>
      <c r="H28" s="1504"/>
      <c r="I28" s="655" t="s">
        <v>1481</v>
      </c>
      <c r="J28" s="575"/>
      <c r="K28" s="1504"/>
      <c r="L28" s="218"/>
      <c r="M28" s="2187"/>
      <c r="N28" s="338"/>
      <c r="O28" s="1628"/>
      <c r="P28" s="1628"/>
      <c r="AH28" s="1635">
        <v>0</v>
      </c>
    </row>
    <row s="1639" customFormat="1" customHeight="1" ht="0.75" hidden="1">
      <c r="A29" s="1783"/>
      <c r="B29" s="1783"/>
      <c r="C29" s="373" t="s">
        <v>1486</v>
      </c>
      <c r="D29" s="2479"/>
      <c r="E29" s="2221"/>
      <c r="F29" s="2400"/>
      <c r="G29" s="404"/>
      <c r="H29" s="1504"/>
      <c r="I29" s="655"/>
      <c r="J29" s="575"/>
      <c r="K29" s="1504"/>
      <c r="L29" s="218"/>
      <c r="M29" s="2187"/>
      <c r="N29" s="338"/>
      <c r="O29" s="1628"/>
      <c r="P29" s="1628"/>
      <c r="AH29" s="1635">
        <v>0</v>
      </c>
    </row>
    <row s="1639" customFormat="1" customHeight="1" ht="45" hidden="1">
      <c r="A30" s="1783" t="s">
        <v>307</v>
      </c>
      <c r="B30" s="1783" t="s">
        <v>308</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444</v>
      </c>
      <c r="M30" s="2187"/>
      <c r="N30" s="338"/>
      <c r="O30" s="1628"/>
      <c r="P30" s="1628"/>
      <c r="AH30" s="1635">
        <v>0</v>
      </c>
    </row>
    <row s="1639" customFormat="1" customHeight="1" ht="18.75" hidden="1">
      <c r="A31" s="1783"/>
      <c r="B31" s="1783"/>
      <c r="C31" s="373" t="s">
        <v>1480</v>
      </c>
      <c r="D31" s="2479"/>
      <c r="E31" s="2221"/>
      <c r="F31" s="2400"/>
      <c r="G31" s="2444"/>
      <c r="H31" s="1504"/>
      <c r="I31" s="655" t="s">
        <v>1481</v>
      </c>
      <c r="J31" s="575"/>
      <c r="K31" s="1504"/>
      <c r="L31" s="218"/>
      <c r="M31" s="2187"/>
      <c r="N31" s="338"/>
      <c r="O31" s="1628"/>
      <c r="P31" s="1628"/>
      <c r="AH31" s="1635">
        <v>0</v>
      </c>
    </row>
    <row s="1639" customFormat="1" customHeight="1" ht="0.75" hidden="1">
      <c r="A32" s="1783"/>
      <c r="B32" s="1783"/>
      <c r="C32" s="373" t="s">
        <v>1486</v>
      </c>
      <c r="D32" s="2479"/>
      <c r="E32" s="2221"/>
      <c r="F32" s="2400"/>
      <c r="G32" s="404"/>
      <c r="H32" s="1504"/>
      <c r="I32" s="655"/>
      <c r="J32" s="575"/>
      <c r="K32" s="1504"/>
      <c r="L32" s="218"/>
      <c r="M32" s="2187"/>
      <c r="N32" s="338"/>
      <c r="O32" s="1628"/>
      <c r="P32" s="1628"/>
      <c r="AH32" s="1635">
        <v>0</v>
      </c>
    </row>
    <row s="1639" customFormat="1" customHeight="1" ht="45" hidden="1">
      <c r="A33" s="1783" t="s">
        <v>313</v>
      </c>
      <c r="B33" s="1783" t="s">
        <v>314</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444</v>
      </c>
      <c r="M33" s="2187"/>
      <c r="N33" s="338"/>
      <c r="O33" s="1628"/>
      <c r="P33" s="1628"/>
      <c r="AH33" s="1635">
        <v>0</v>
      </c>
    </row>
    <row s="1639" customFormat="1" customHeight="1" ht="18.75" hidden="1">
      <c r="A34" s="1783"/>
      <c r="B34" s="1783"/>
      <c r="C34" s="373" t="s">
        <v>1480</v>
      </c>
      <c r="D34" s="2479"/>
      <c r="E34" s="2221"/>
      <c r="F34" s="2400"/>
      <c r="G34" s="2444"/>
      <c r="H34" s="1504"/>
      <c r="I34" s="655" t="s">
        <v>1481</v>
      </c>
      <c r="J34" s="575"/>
      <c r="K34" s="1504"/>
      <c r="L34" s="218"/>
      <c r="M34" s="2187"/>
      <c r="N34" s="338"/>
      <c r="O34" s="1628"/>
      <c r="P34" s="1628"/>
      <c r="AH34" s="1635">
        <v>0</v>
      </c>
    </row>
    <row s="1639" customFormat="1" customHeight="1" ht="0.75" hidden="1">
      <c r="A35" s="1783"/>
      <c r="B35" s="1783"/>
      <c r="C35" s="373" t="s">
        <v>1486</v>
      </c>
      <c r="D35" s="2479"/>
      <c r="E35" s="2221"/>
      <c r="F35" s="2400"/>
      <c r="G35" s="404"/>
      <c r="H35" s="1504"/>
      <c r="I35" s="655"/>
      <c r="J35" s="575"/>
      <c r="K35" s="1504"/>
      <c r="L35" s="218"/>
      <c r="M35" s="2187"/>
      <c r="N35" s="338"/>
      <c r="O35" s="1628"/>
      <c r="P35" s="1628"/>
      <c r="AH35" s="1635">
        <v>0</v>
      </c>
    </row>
    <row s="1639" customFormat="1" customHeight="1" ht="18.75" hidden="1">
      <c r="A36" s="1783" t="s">
        <v>319</v>
      </c>
      <c r="B36" s="1783" t="s">
        <v>320</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444</v>
      </c>
      <c r="M36" s="2187"/>
      <c r="N36" s="338"/>
      <c r="O36" s="1628"/>
      <c r="P36" s="1628"/>
      <c r="AH36" s="1635">
        <v>0</v>
      </c>
    </row>
    <row s="1639" customFormat="1" customHeight="1" ht="18.75" hidden="1">
      <c r="A37" s="1783"/>
      <c r="B37" s="1783"/>
      <c r="C37" s="373" t="s">
        <v>1480</v>
      </c>
      <c r="D37" s="2479"/>
      <c r="E37" s="2221"/>
      <c r="F37" s="2400"/>
      <c r="G37" s="2444"/>
      <c r="H37" s="1504"/>
      <c r="I37" s="655" t="s">
        <v>1481</v>
      </c>
      <c r="J37" s="575"/>
      <c r="K37" s="1504"/>
      <c r="L37" s="218"/>
      <c r="M37" s="2187"/>
      <c r="N37" s="338"/>
      <c r="O37" s="1628"/>
      <c r="P37" s="1628"/>
      <c r="AH37" s="1635">
        <v>0</v>
      </c>
    </row>
    <row s="1639" customFormat="1" customHeight="1" ht="0.75" hidden="1">
      <c r="A38" s="1783"/>
      <c r="B38" s="1783"/>
      <c r="C38" s="373" t="s">
        <v>1486</v>
      </c>
      <c r="D38" s="2479"/>
      <c r="E38" s="2221"/>
      <c r="F38" s="2400"/>
      <c r="G38" s="404"/>
      <c r="H38" s="1504"/>
      <c r="I38" s="655"/>
      <c r="J38" s="575"/>
      <c r="K38" s="1504"/>
      <c r="L38" s="218"/>
      <c r="M38" s="2187"/>
      <c r="N38" s="338"/>
      <c r="O38" s="1628"/>
      <c r="P38" s="1628"/>
      <c r="AH38" s="1635">
        <v>0</v>
      </c>
    </row>
    <row s="1639" customFormat="1" customHeight="1" ht="18.75" hidden="1">
      <c r="A39" s="1783" t="s">
        <v>325</v>
      </c>
      <c r="B39" s="1783" t="s">
        <v>326</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444</v>
      </c>
      <c r="M39" s="2187"/>
      <c r="N39" s="338"/>
      <c r="O39" s="1628"/>
      <c r="P39" s="1628"/>
      <c r="AH39" s="1635">
        <v>0</v>
      </c>
    </row>
    <row s="1639" customFormat="1" customHeight="1" ht="18.75" hidden="1">
      <c r="A40" s="1783"/>
      <c r="B40" s="1783"/>
      <c r="C40" s="373" t="s">
        <v>1480</v>
      </c>
      <c r="D40" s="2479"/>
      <c r="E40" s="2221"/>
      <c r="F40" s="2400"/>
      <c r="G40" s="2444"/>
      <c r="H40" s="1504"/>
      <c r="I40" s="655" t="s">
        <v>1481</v>
      </c>
      <c r="J40" s="575"/>
      <c r="K40" s="1504"/>
      <c r="L40" s="218"/>
      <c r="M40" s="2187"/>
      <c r="N40" s="338"/>
      <c r="O40" s="1628"/>
      <c r="P40" s="1628"/>
      <c r="AH40" s="1635">
        <v>0</v>
      </c>
    </row>
    <row s="1639" customFormat="1" customHeight="1" ht="0.75" hidden="1">
      <c r="A41" s="1783"/>
      <c r="B41" s="1783"/>
      <c r="C41" s="373" t="s">
        <v>1486</v>
      </c>
      <c r="D41" s="2479"/>
      <c r="E41" s="2221"/>
      <c r="F41" s="2400"/>
      <c r="G41" s="404"/>
      <c r="H41" s="1504"/>
      <c r="I41" s="655"/>
      <c r="J41" s="575"/>
      <c r="K41" s="1504"/>
      <c r="L41" s="218"/>
      <c r="M41" s="2187"/>
      <c r="N41" s="338"/>
      <c r="O41" s="1628"/>
      <c r="P41" s="1628"/>
      <c r="AH41" s="1635">
        <v>0</v>
      </c>
    </row>
    <row s="1639" customFormat="1" customHeight="1" ht="18.75" hidden="1">
      <c r="A42" s="1783" t="s">
        <v>331</v>
      </c>
      <c r="B42" s="1783" t="s">
        <v>332</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444</v>
      </c>
      <c r="M42" s="2187"/>
      <c r="N42" s="338"/>
      <c r="O42" s="1628"/>
      <c r="P42" s="1628"/>
      <c r="AH42" s="1635">
        <v>0</v>
      </c>
    </row>
    <row s="1639" customFormat="1" customHeight="1" ht="18.75" hidden="1">
      <c r="A43" s="1783"/>
      <c r="B43" s="1783"/>
      <c r="C43" s="373" t="s">
        <v>1480</v>
      </c>
      <c r="D43" s="2479"/>
      <c r="E43" s="2221"/>
      <c r="F43" s="2400"/>
      <c r="G43" s="2444"/>
      <c r="H43" s="1504"/>
      <c r="I43" s="655" t="s">
        <v>1481</v>
      </c>
      <c r="J43" s="575"/>
      <c r="K43" s="1504"/>
      <c r="L43" s="218"/>
      <c r="M43" s="2187"/>
      <c r="N43" s="338"/>
      <c r="O43" s="1628"/>
      <c r="P43" s="1628"/>
      <c r="AH43" s="1635">
        <v>0</v>
      </c>
    </row>
    <row s="1639" customFormat="1" customHeight="1" ht="0.75" hidden="1">
      <c r="A44" s="1783"/>
      <c r="B44" s="1783"/>
      <c r="C44" s="373" t="s">
        <v>1486</v>
      </c>
      <c r="D44" s="2479"/>
      <c r="E44" s="2221"/>
      <c r="F44" s="2400"/>
      <c r="G44" s="404"/>
      <c r="H44" s="1504"/>
      <c r="I44" s="655"/>
      <c r="J44" s="575"/>
      <c r="K44" s="1504"/>
      <c r="L44" s="218"/>
      <c r="M44" s="2187"/>
      <c r="N44" s="338"/>
      <c r="O44" s="1628"/>
      <c r="P44" s="1628"/>
      <c r="AH44" s="1635">
        <v>0</v>
      </c>
    </row>
    <row s="1639" customFormat="1" customHeight="1" ht="18.75" hidden="1">
      <c r="A45" s="1783" t="s">
        <v>337</v>
      </c>
      <c r="B45" s="1783" t="s">
        <v>338</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444</v>
      </c>
      <c r="M45" s="2187"/>
      <c r="N45" s="338"/>
      <c r="O45" s="1628"/>
      <c r="P45" s="1628"/>
      <c r="AH45" s="1635">
        <v>0</v>
      </c>
    </row>
    <row s="1639" customFormat="1" customHeight="1" ht="18.75" hidden="1">
      <c r="A46" s="1783"/>
      <c r="B46" s="1783"/>
      <c r="C46" s="373" t="s">
        <v>1480</v>
      </c>
      <c r="D46" s="2479"/>
      <c r="E46" s="2221"/>
      <c r="F46" s="2400"/>
      <c r="G46" s="2444"/>
      <c r="H46" s="1504"/>
      <c r="I46" s="655" t="s">
        <v>1481</v>
      </c>
      <c r="J46" s="575"/>
      <c r="K46" s="1504"/>
      <c r="L46" s="218"/>
      <c r="M46" s="2187"/>
      <c r="N46" s="338"/>
      <c r="O46" s="1628"/>
      <c r="P46" s="1628"/>
      <c r="AH46" s="1635">
        <v>0</v>
      </c>
    </row>
    <row s="1639" customFormat="1" customHeight="1" ht="0.75" hidden="1">
      <c r="A47" s="1783"/>
      <c r="B47" s="1783"/>
      <c r="C47" s="373" t="s">
        <v>1486</v>
      </c>
      <c r="D47" s="2479"/>
      <c r="E47" s="2221"/>
      <c r="F47" s="2400"/>
      <c r="G47" s="404"/>
      <c r="H47" s="1504"/>
      <c r="I47" s="655"/>
      <c r="J47" s="575"/>
      <c r="K47" s="1504"/>
      <c r="L47" s="218"/>
      <c r="M47" s="2187"/>
      <c r="N47" s="338"/>
      <c r="O47" s="1628"/>
      <c r="P47" s="1628"/>
      <c r="AH47" s="1635">
        <v>0</v>
      </c>
    </row>
    <row s="1639" customFormat="1" customHeight="1" ht="18.75" hidden="1">
      <c r="A48" s="1783" t="s">
        <v>343</v>
      </c>
      <c r="B48" s="1783" t="s">
        <v>344</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444</v>
      </c>
      <c r="M48" s="2187"/>
      <c r="N48" s="338"/>
      <c r="O48" s="1628"/>
      <c r="P48" s="1628"/>
      <c r="AH48" s="1635">
        <v>0</v>
      </c>
    </row>
    <row s="1639" customFormat="1" customHeight="1" ht="18.75" hidden="1">
      <c r="A49" s="1783"/>
      <c r="B49" s="1783"/>
      <c r="C49" s="373" t="s">
        <v>1480</v>
      </c>
      <c r="D49" s="2479"/>
      <c r="E49" s="2221"/>
      <c r="F49" s="2400"/>
      <c r="G49" s="2444"/>
      <c r="H49" s="1504"/>
      <c r="I49" s="655" t="s">
        <v>1481</v>
      </c>
      <c r="J49" s="575"/>
      <c r="K49" s="1504"/>
      <c r="L49" s="218"/>
      <c r="M49" s="2187"/>
      <c r="N49" s="338"/>
      <c r="O49" s="1628"/>
      <c r="P49" s="1628"/>
      <c r="AH49" s="1635">
        <v>0</v>
      </c>
    </row>
    <row s="1639" customFormat="1" customHeight="1" ht="0.75" hidden="1">
      <c r="A50" s="1783"/>
      <c r="B50" s="1783"/>
      <c r="C50" s="373" t="s">
        <v>1486</v>
      </c>
      <c r="D50" s="2479"/>
      <c r="E50" s="2221"/>
      <c r="F50" s="2400"/>
      <c r="G50" s="404"/>
      <c r="H50" s="1504"/>
      <c r="I50" s="655"/>
      <c r="J50" s="575"/>
      <c r="K50" s="1504"/>
      <c r="L50" s="218"/>
      <c r="M50" s="2187"/>
      <c r="N50" s="338"/>
      <c r="O50" s="1628"/>
      <c r="P50" s="1628"/>
      <c r="AH50" s="1635">
        <v>0</v>
      </c>
    </row>
    <row s="1639" customFormat="1" customHeight="1" ht="18.75" hidden="1">
      <c r="A51" s="1783" t="s">
        <v>363</v>
      </c>
      <c r="B51" s="1783" t="s">
        <v>364</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444</v>
      </c>
      <c r="M51" s="2187"/>
      <c r="N51" s="338"/>
      <c r="O51" s="1628"/>
      <c r="P51" s="1628"/>
      <c r="AH51" s="1635">
        <v>0</v>
      </c>
    </row>
    <row s="1639" customFormat="1" customHeight="1" ht="18.75" hidden="1">
      <c r="A52" s="1783"/>
      <c r="B52" s="1783"/>
      <c r="C52" s="373" t="s">
        <v>1480</v>
      </c>
      <c r="D52" s="2479"/>
      <c r="E52" s="2221"/>
      <c r="F52" s="2400"/>
      <c r="G52" s="2444"/>
      <c r="H52" s="1504"/>
      <c r="I52" s="655" t="s">
        <v>1481</v>
      </c>
      <c r="J52" s="575"/>
      <c r="K52" s="1504"/>
      <c r="L52" s="218"/>
      <c r="M52" s="2187"/>
      <c r="N52" s="338"/>
      <c r="O52" s="1628"/>
      <c r="P52" s="1628"/>
      <c r="AH52" s="1635">
        <v>0</v>
      </c>
    </row>
    <row s="1639" customFormat="1" customHeight="1" ht="0.75" hidden="1">
      <c r="A53" s="1783"/>
      <c r="B53" s="1783"/>
      <c r="C53" s="373" t="s">
        <v>1486</v>
      </c>
      <c r="D53" s="2479"/>
      <c r="E53" s="2221"/>
      <c r="F53" s="2400"/>
      <c r="G53" s="404"/>
      <c r="H53" s="1504"/>
      <c r="I53" s="655"/>
      <c r="J53" s="575"/>
      <c r="K53" s="1504"/>
      <c r="L53" s="218"/>
      <c r="M53" s="2187"/>
      <c r="N53" s="338"/>
      <c r="O53" s="1628"/>
      <c r="P53" s="1628"/>
      <c r="AH53" s="1635">
        <v>0</v>
      </c>
    </row>
    <row s="1639" customFormat="1" customHeight="1" ht="18.75" hidden="1">
      <c r="A54" s="1783" t="s">
        <v>368</v>
      </c>
      <c r="B54" s="1783" t="s">
        <v>369</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444</v>
      </c>
      <c r="M54" s="2187"/>
      <c r="N54" s="338"/>
      <c r="O54" s="1628"/>
      <c r="P54" s="1628"/>
      <c r="AH54" s="1635">
        <v>0</v>
      </c>
    </row>
    <row s="1639" customFormat="1" customHeight="1" ht="18.75" hidden="1">
      <c r="A55" s="1783"/>
      <c r="B55" s="1783"/>
      <c r="C55" s="373" t="s">
        <v>1480</v>
      </c>
      <c r="D55" s="2479"/>
      <c r="E55" s="2221"/>
      <c r="F55" s="2400"/>
      <c r="G55" s="2444"/>
      <c r="H55" s="1504"/>
      <c r="I55" s="655" t="s">
        <v>1481</v>
      </c>
      <c r="J55" s="575"/>
      <c r="K55" s="1504"/>
      <c r="L55" s="218"/>
      <c r="M55" s="2187"/>
      <c r="N55" s="338"/>
      <c r="O55" s="1628"/>
      <c r="P55" s="1628"/>
      <c r="AH55" s="1635">
        <v>0</v>
      </c>
    </row>
    <row s="1639" customFormat="1" customHeight="1" ht="0.75" hidden="1">
      <c r="A56" s="1783"/>
      <c r="B56" s="1783"/>
      <c r="C56" s="373" t="s">
        <v>1486</v>
      </c>
      <c r="D56" s="2479"/>
      <c r="E56" s="2221"/>
      <c r="F56" s="2400"/>
      <c r="G56" s="404"/>
      <c r="H56" s="1504"/>
      <c r="I56" s="655"/>
      <c r="J56" s="575"/>
      <c r="K56" s="1504"/>
      <c r="L56" s="218"/>
      <c r="M56" s="2187"/>
      <c r="N56" s="338"/>
      <c r="O56" s="1628"/>
      <c r="P56" s="1628"/>
      <c r="AH56" s="1635">
        <v>0</v>
      </c>
    </row>
    <row s="1639" customFormat="1" customHeight="1" ht="18.75" hidden="1">
      <c r="A57" s="1783" t="s">
        <v>373</v>
      </c>
      <c r="B57" s="1783" t="s">
        <v>374</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444</v>
      </c>
      <c r="M57" s="2187"/>
      <c r="N57" s="338"/>
      <c r="O57" s="1628"/>
      <c r="P57" s="1628"/>
      <c r="AH57" s="1635">
        <v>0</v>
      </c>
    </row>
    <row s="1639" customFormat="1" customHeight="1" ht="18.75" hidden="1">
      <c r="A58" s="1783"/>
      <c r="B58" s="1783"/>
      <c r="C58" s="373" t="s">
        <v>1480</v>
      </c>
      <c r="D58" s="2479"/>
      <c r="E58" s="2221"/>
      <c r="F58" s="2400"/>
      <c r="G58" s="2444"/>
      <c r="H58" s="1504"/>
      <c r="I58" s="655" t="s">
        <v>1481</v>
      </c>
      <c r="J58" s="575"/>
      <c r="K58" s="1504"/>
      <c r="L58" s="218"/>
      <c r="M58" s="2187"/>
      <c r="N58" s="338"/>
      <c r="O58" s="1628"/>
      <c r="P58" s="1628"/>
      <c r="AH58" s="1635">
        <v>0</v>
      </c>
    </row>
    <row s="1639" customFormat="1" customHeight="1" ht="0.75" hidden="1">
      <c r="A59" s="1783"/>
      <c r="B59" s="1783"/>
      <c r="C59" s="373" t="s">
        <v>1486</v>
      </c>
      <c r="D59" s="2479"/>
      <c r="E59" s="2221"/>
      <c r="F59" s="2400"/>
      <c r="G59" s="404"/>
      <c r="H59" s="1504"/>
      <c r="I59" s="655"/>
      <c r="J59" s="575"/>
      <c r="K59" s="1504"/>
      <c r="L59" s="218"/>
      <c r="M59" s="2187"/>
      <c r="N59" s="338"/>
      <c r="O59" s="1628"/>
      <c r="P59" s="1628"/>
      <c r="AH59" s="1635">
        <v>0</v>
      </c>
    </row>
    <row s="1639" customFormat="1" customHeight="1" ht="18.75" hidden="1">
      <c r="A60" s="1783" t="s">
        <v>378</v>
      </c>
      <c r="B60" s="1783" t="s">
        <v>379</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444</v>
      </c>
      <c r="M60" s="2187"/>
      <c r="N60" s="338"/>
      <c r="O60" s="1628"/>
      <c r="P60" s="1628"/>
      <c r="AH60" s="1635">
        <v>0</v>
      </c>
    </row>
    <row s="1639" customFormat="1" customHeight="1" ht="18.75" hidden="1">
      <c r="A61" s="1783"/>
      <c r="B61" s="1783"/>
      <c r="C61" s="373" t="s">
        <v>1480</v>
      </c>
      <c r="D61" s="2479"/>
      <c r="E61" s="2221"/>
      <c r="F61" s="2400"/>
      <c r="G61" s="2444"/>
      <c r="H61" s="1504"/>
      <c r="I61" s="655" t="s">
        <v>1481</v>
      </c>
      <c r="J61" s="575"/>
      <c r="K61" s="1504"/>
      <c r="L61" s="218"/>
      <c r="M61" s="2187"/>
      <c r="N61" s="338"/>
      <c r="O61" s="1628"/>
      <c r="P61" s="1628"/>
      <c r="AH61" s="1635">
        <v>0</v>
      </c>
    </row>
    <row s="1639" customFormat="1" customHeight="1" ht="0.75" hidden="1">
      <c r="A62" s="1783"/>
      <c r="B62" s="1783"/>
      <c r="C62" s="373" t="s">
        <v>1486</v>
      </c>
      <c r="D62" s="2479"/>
      <c r="E62" s="2221"/>
      <c r="F62" s="2400"/>
      <c r="G62" s="404"/>
      <c r="H62" s="1504"/>
      <c r="I62" s="655"/>
      <c r="J62" s="575"/>
      <c r="K62" s="1504"/>
      <c r="L62" s="218"/>
      <c r="M62" s="2187"/>
      <c r="N62" s="338"/>
      <c r="O62" s="1628"/>
      <c r="P62" s="1628"/>
      <c r="AH62" s="1635">
        <v>0</v>
      </c>
    </row>
    <row s="1639" customFormat="1" customHeight="1" ht="18.75" hidden="1">
      <c r="A63" s="1783" t="s">
        <v>383</v>
      </c>
      <c r="B63" s="1783" t="s">
        <v>384</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444</v>
      </c>
      <c r="M63" s="2187"/>
      <c r="N63" s="338"/>
      <c r="O63" s="1628"/>
      <c r="P63" s="1628"/>
      <c r="AH63" s="1635">
        <v>0</v>
      </c>
    </row>
    <row s="1639" customFormat="1" customHeight="1" ht="18.75" hidden="1">
      <c r="A64" s="1783"/>
      <c r="B64" s="1783"/>
      <c r="C64" s="373" t="s">
        <v>1480</v>
      </c>
      <c r="D64" s="2479"/>
      <c r="E64" s="2221"/>
      <c r="F64" s="2400"/>
      <c r="G64" s="2444"/>
      <c r="H64" s="1504"/>
      <c r="I64" s="655" t="s">
        <v>1481</v>
      </c>
      <c r="J64" s="575"/>
      <c r="K64" s="1504"/>
      <c r="L64" s="218"/>
      <c r="M64" s="2187"/>
      <c r="N64" s="338"/>
      <c r="O64" s="1628"/>
      <c r="P64" s="1628"/>
      <c r="AH64" s="1635">
        <v>0</v>
      </c>
    </row>
    <row s="1639" customFormat="1" customHeight="1" ht="0.75" hidden="1">
      <c r="A65" s="1783"/>
      <c r="B65" s="1783"/>
      <c r="C65" s="373" t="s">
        <v>1486</v>
      </c>
      <c r="D65" s="2479"/>
      <c r="E65" s="2221"/>
      <c r="F65" s="2400"/>
      <c r="G65" s="404"/>
      <c r="H65" s="1504"/>
      <c r="I65" s="655"/>
      <c r="J65" s="575"/>
      <c r="K65" s="1504"/>
      <c r="L65" s="218"/>
      <c r="M65" s="2187"/>
      <c r="N65" s="338"/>
      <c r="O65" s="1628"/>
      <c r="P65" s="1628"/>
      <c r="AH65" s="1635">
        <v>0</v>
      </c>
    </row>
    <row s="1639" customFormat="1" customHeight="1" ht="18.75" hidden="1">
      <c r="A66" s="1783" t="s">
        <v>388</v>
      </c>
      <c r="B66" s="1783" t="s">
        <v>389</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444</v>
      </c>
      <c r="M66" s="2187"/>
      <c r="N66" s="338"/>
      <c r="O66" s="1628"/>
      <c r="P66" s="1628"/>
      <c r="AH66" s="1635">
        <v>0</v>
      </c>
    </row>
    <row s="1639" customFormat="1" customHeight="1" ht="18.75" hidden="1">
      <c r="A67" s="1783"/>
      <c r="B67" s="1783"/>
      <c r="C67" s="373" t="s">
        <v>1480</v>
      </c>
      <c r="D67" s="2479"/>
      <c r="E67" s="2221"/>
      <c r="F67" s="2400"/>
      <c r="G67" s="2444"/>
      <c r="H67" s="1504"/>
      <c r="I67" s="655" t="s">
        <v>1481</v>
      </c>
      <c r="J67" s="575"/>
      <c r="K67" s="1504"/>
      <c r="L67" s="218"/>
      <c r="M67" s="2187"/>
      <c r="N67" s="338"/>
      <c r="O67" s="1628"/>
      <c r="P67" s="1628"/>
      <c r="AH67" s="1635">
        <v>0</v>
      </c>
    </row>
    <row s="1639" customFormat="1" customHeight="1" ht="0.75" hidden="1">
      <c r="A68" s="1783"/>
      <c r="B68" s="1783"/>
      <c r="C68" s="373" t="s">
        <v>1486</v>
      </c>
      <c r="D68" s="2479"/>
      <c r="E68" s="2221"/>
      <c r="F68" s="2400"/>
      <c r="G68" s="404"/>
      <c r="H68" s="1504"/>
      <c r="I68" s="655"/>
      <c r="J68" s="575"/>
      <c r="K68" s="1504"/>
      <c r="L68" s="218"/>
      <c r="M68" s="2187"/>
      <c r="N68" s="338"/>
      <c r="O68" s="1628"/>
      <c r="P68" s="1628"/>
      <c r="AH68" s="1635">
        <v>0</v>
      </c>
    </row>
    <row s="1639" customFormat="1" customHeight="1" ht="18.75" hidden="1">
      <c r="A69" s="1783" t="s">
        <v>393</v>
      </c>
      <c r="B69" s="1783" t="s">
        <v>394</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444</v>
      </c>
      <c r="M69" s="2187"/>
      <c r="N69" s="338"/>
      <c r="O69" s="1628"/>
      <c r="P69" s="1628"/>
      <c r="AH69" s="1635">
        <v>0</v>
      </c>
    </row>
    <row s="1639" customFormat="1" customHeight="1" ht="18.75" hidden="1">
      <c r="A70" s="1783"/>
      <c r="B70" s="1783"/>
      <c r="C70" s="373" t="s">
        <v>1480</v>
      </c>
      <c r="D70" s="2479"/>
      <c r="E70" s="2221"/>
      <c r="F70" s="2400"/>
      <c r="G70" s="2444"/>
      <c r="H70" s="1504"/>
      <c r="I70" s="655" t="s">
        <v>1481</v>
      </c>
      <c r="J70" s="575"/>
      <c r="K70" s="1504"/>
      <c r="L70" s="218"/>
      <c r="M70" s="2187"/>
      <c r="N70" s="338"/>
      <c r="O70" s="1628"/>
      <c r="P70" s="1628"/>
      <c r="AH70" s="1635">
        <v>0</v>
      </c>
    </row>
    <row s="1639" customFormat="1" customHeight="1" ht="0.75" hidden="1">
      <c r="A71" s="1783"/>
      <c r="B71" s="1783"/>
      <c r="C71" s="373" t="s">
        <v>1486</v>
      </c>
      <c r="D71" s="2479"/>
      <c r="E71" s="2221"/>
      <c r="F71" s="2400"/>
      <c r="G71" s="404"/>
      <c r="H71" s="1504"/>
      <c r="I71" s="655"/>
      <c r="J71" s="575"/>
      <c r="K71" s="1504"/>
      <c r="L71" s="218"/>
      <c r="M71" s="2187"/>
      <c r="N71" s="338"/>
      <c r="O71" s="1628"/>
      <c r="P71" s="1628"/>
      <c r="AH71" s="1635">
        <v>0</v>
      </c>
    </row>
    <row s="1639" customFormat="1" customHeight="1" ht="18.75" hidden="1">
      <c r="A72" s="1783" t="s">
        <v>398</v>
      </c>
      <c r="B72" s="1783" t="s">
        <v>399</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444</v>
      </c>
      <c r="M72" s="2187"/>
      <c r="N72" s="338"/>
      <c r="O72" s="1628"/>
      <c r="P72" s="1628"/>
      <c r="AH72" s="1635">
        <v>0</v>
      </c>
    </row>
    <row s="1639" customFormat="1" customHeight="1" ht="18.75" hidden="1">
      <c r="A73" s="1783"/>
      <c r="B73" s="1783"/>
      <c r="C73" s="373" t="s">
        <v>1480</v>
      </c>
      <c r="D73" s="2479"/>
      <c r="E73" s="2221"/>
      <c r="F73" s="2400"/>
      <c r="G73" s="2444"/>
      <c r="H73" s="1504"/>
      <c r="I73" s="655" t="s">
        <v>1481</v>
      </c>
      <c r="J73" s="575"/>
      <c r="K73" s="1504"/>
      <c r="L73" s="218"/>
      <c r="M73" s="2187"/>
      <c r="N73" s="338"/>
      <c r="O73" s="1628"/>
      <c r="P73" s="1628"/>
      <c r="AH73" s="1635">
        <v>0</v>
      </c>
    </row>
    <row s="1639" customFormat="1" customHeight="1" ht="0.75" hidden="1">
      <c r="A74" s="1783"/>
      <c r="B74" s="1783"/>
      <c r="C74" s="373" t="s">
        <v>1486</v>
      </c>
      <c r="D74" s="2479"/>
      <c r="E74" s="2221"/>
      <c r="F74" s="2400"/>
      <c r="G74" s="404"/>
      <c r="H74" s="1504"/>
      <c r="I74" s="655"/>
      <c r="J74" s="575"/>
      <c r="K74" s="1504"/>
      <c r="L74" s="218"/>
      <c r="M74" s="2187"/>
      <c r="N74" s="338"/>
      <c r="O74" s="1628"/>
      <c r="P74" s="1628"/>
      <c r="AH74" s="1635">
        <v>0</v>
      </c>
    </row>
    <row s="1639" customFormat="1" customHeight="1" ht="18.75" hidden="1">
      <c r="A75" s="1783" t="s">
        <v>403</v>
      </c>
      <c r="B75" s="1783" t="s">
        <v>404</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444</v>
      </c>
      <c r="M75" s="2187"/>
      <c r="N75" s="338"/>
      <c r="O75" s="1628"/>
      <c r="P75" s="1628"/>
      <c r="AH75" s="1635">
        <v>0</v>
      </c>
    </row>
    <row s="1639" customFormat="1" customHeight="1" ht="18.75" hidden="1">
      <c r="A76" s="1783"/>
      <c r="B76" s="1783"/>
      <c r="C76" s="373" t="s">
        <v>1480</v>
      </c>
      <c r="D76" s="2479"/>
      <c r="E76" s="2221"/>
      <c r="F76" s="2400"/>
      <c r="G76" s="2444"/>
      <c r="H76" s="1504"/>
      <c r="I76" s="655" t="s">
        <v>1481</v>
      </c>
      <c r="J76" s="575"/>
      <c r="K76" s="1504"/>
      <c r="L76" s="218"/>
      <c r="M76" s="2187"/>
      <c r="N76" s="338"/>
      <c r="O76" s="1628"/>
      <c r="P76" s="1628"/>
      <c r="AH76" s="1635">
        <v>0</v>
      </c>
    </row>
    <row s="1639" customFormat="1" customHeight="1" ht="0.75" hidden="1">
      <c r="A77" s="1783"/>
      <c r="B77" s="1783"/>
      <c r="C77" s="373" t="s">
        <v>1486</v>
      </c>
      <c r="D77" s="2479"/>
      <c r="E77" s="2221"/>
      <c r="F77" s="2400"/>
      <c r="G77" s="404"/>
      <c r="H77" s="1504"/>
      <c r="I77" s="655"/>
      <c r="J77" s="575"/>
      <c r="K77" s="1504"/>
      <c r="L77" s="218"/>
      <c r="M77" s="2187"/>
      <c r="N77" s="338"/>
      <c r="O77" s="1628"/>
      <c r="P77" s="1628"/>
      <c r="AH77" s="1635">
        <v>0</v>
      </c>
    </row>
    <row s="1639" customFormat="1" customHeight="1" ht="18.75" hidden="1">
      <c r="A78" s="1783" t="s">
        <v>408</v>
      </c>
      <c r="B78" s="1783" t="s">
        <v>409</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444</v>
      </c>
      <c r="M78" s="2187"/>
      <c r="N78" s="338"/>
      <c r="O78" s="1628"/>
      <c r="P78" s="1628"/>
      <c r="AH78" s="1635">
        <v>0</v>
      </c>
    </row>
    <row s="1639" customFormat="1" customHeight="1" ht="18.75" hidden="1">
      <c r="A79" s="1783"/>
      <c r="B79" s="1783"/>
      <c r="C79" s="373" t="s">
        <v>1480</v>
      </c>
      <c r="D79" s="2479"/>
      <c r="E79" s="2221"/>
      <c r="F79" s="2400"/>
      <c r="G79" s="2444"/>
      <c r="H79" s="1504"/>
      <c r="I79" s="655" t="s">
        <v>1481</v>
      </c>
      <c r="J79" s="575"/>
      <c r="K79" s="1504"/>
      <c r="L79" s="218"/>
      <c r="M79" s="2187"/>
      <c r="N79" s="338"/>
      <c r="O79" s="1628"/>
      <c r="P79" s="1628"/>
      <c r="AH79" s="1635">
        <v>0</v>
      </c>
    </row>
    <row s="1639" customFormat="1" customHeight="1" ht="0.75" hidden="1">
      <c r="A80" s="1783"/>
      <c r="B80" s="1783"/>
      <c r="C80" s="373" t="s">
        <v>1486</v>
      </c>
      <c r="D80" s="2479"/>
      <c r="E80" s="2221"/>
      <c r="F80" s="2400"/>
      <c r="G80" s="404"/>
      <c r="H80" s="1504"/>
      <c r="I80" s="655"/>
      <c r="J80" s="575"/>
      <c r="K80" s="1504"/>
      <c r="L80" s="218"/>
      <c r="M80" s="2187"/>
      <c r="N80" s="338"/>
      <c r="O80" s="1628"/>
      <c r="P80" s="1628"/>
      <c r="AH80" s="1635">
        <v>0</v>
      </c>
    </row>
    <row s="1639" customFormat="1" customHeight="1" ht="18.75" hidden="1">
      <c r="A81" s="1783" t="s">
        <v>413</v>
      </c>
      <c r="B81" s="1783" t="s">
        <v>414</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444</v>
      </c>
      <c r="M81" s="2187"/>
      <c r="N81" s="338"/>
      <c r="O81" s="1628"/>
      <c r="P81" s="1628"/>
      <c r="AH81" s="1635">
        <v>0</v>
      </c>
    </row>
    <row s="1639" customFormat="1" customHeight="1" ht="18.75" hidden="1">
      <c r="A82" s="1783"/>
      <c r="B82" s="1783"/>
      <c r="C82" s="373" t="s">
        <v>1480</v>
      </c>
      <c r="D82" s="2479"/>
      <c r="E82" s="2221"/>
      <c r="F82" s="2400"/>
      <c r="G82" s="2444"/>
      <c r="H82" s="1504"/>
      <c r="I82" s="655" t="s">
        <v>1481</v>
      </c>
      <c r="J82" s="575"/>
      <c r="K82" s="1504"/>
      <c r="L82" s="218"/>
      <c r="M82" s="2187"/>
      <c r="N82" s="338"/>
      <c r="O82" s="1628"/>
      <c r="P82" s="1628"/>
      <c r="AH82" s="1635">
        <v>0</v>
      </c>
    </row>
    <row s="1639" customFormat="1" customHeight="1" ht="1.05">
      <c r="A83" s="1783"/>
      <c r="B83" s="1783"/>
      <c r="C83" s="373" t="s">
        <v>1486</v>
      </c>
      <c r="D83" s="2479"/>
      <c r="E83" s="2221"/>
      <c r="F83" s="2400"/>
      <c r="G83" s="404"/>
      <c r="H83" s="1504"/>
      <c r="I83" s="655"/>
      <c r="J83" s="575"/>
      <c r="K83" s="1504"/>
      <c r="L83" s="218"/>
      <c r="M83" s="2187"/>
      <c r="N83" s="338"/>
      <c r="O83" s="1628"/>
      <c r="P83" s="1628"/>
      <c r="AH83" s="1635">
        <v>1</v>
      </c>
    </row>
    <row customHeight="1" ht="19.95">
      <c r="A84" s="1783"/>
      <c r="B84" s="1783"/>
      <c r="D84" s="380"/>
      <c r="E84" s="151" t="s">
        <v>102</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7"/>
      <c r="H84" s="2477"/>
      <c r="I84" s="2477"/>
      <c r="J84" s="2477"/>
      <c r="K84" s="2477"/>
      <c r="L84" s="2477"/>
      <c r="M84" s="301"/>
      <c r="N84" s="338"/>
      <c r="AH84" s="378">
        <v>19</v>
      </c>
    </row>
    <row customHeight="1" ht="35.699999999999996">
      <c r="A85" s="1783"/>
      <c r="B85" s="1783"/>
      <c r="D85" s="380"/>
      <c r="E85" s="403"/>
      <c r="F85" s="202" t="s">
        <v>444</v>
      </c>
      <c r="G85" s="202" t="s">
        <v>444</v>
      </c>
      <c r="H85" s="2235" t="s">
        <v>444</v>
      </c>
      <c r="I85" s="2237"/>
      <c r="J85" s="202" t="s">
        <v>444</v>
      </c>
      <c r="K85" s="202" t="s">
        <v>444</v>
      </c>
      <c r="L85" s="405"/>
      <c r="M85" s="349" t="s">
        <v>1487</v>
      </c>
      <c r="N85" s="338"/>
      <c r="AH85" s="378">
        <v>34</v>
      </c>
    </row>
    <row customHeight="1" ht="19.95">
      <c r="A86" s="1783"/>
      <c r="B86" s="1783"/>
      <c r="D86" s="380"/>
      <c r="E86" s="151" t="s">
        <v>89</v>
      </c>
      <c r="F86" s="2477" t="s">
        <v>1488</v>
      </c>
      <c r="G86" s="2477"/>
      <c r="H86" s="2477"/>
      <c r="I86" s="2477"/>
      <c r="J86" s="2477"/>
      <c r="K86" s="2477"/>
      <c r="L86" s="2477"/>
      <c r="M86" s="301"/>
      <c r="N86" s="338"/>
      <c r="AH86" s="378">
        <v>19</v>
      </c>
    </row>
    <row s="1639" customFormat="1" customHeight="1" ht="60.75" hidden="1">
      <c r="A87" s="1783" t="s">
        <v>295</v>
      </c>
      <c r="B87" s="1783" t="s">
        <v>296</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444</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1482</v>
      </c>
      <c r="D88" s="2479"/>
      <c r="E88" s="2221"/>
      <c r="F88" s="2400"/>
      <c r="G88" s="2444"/>
      <c r="H88" s="1504"/>
      <c r="I88" s="655" t="s">
        <v>1481</v>
      </c>
      <c r="J88" s="575"/>
      <c r="K88" s="1504"/>
      <c r="L88" s="218"/>
      <c r="M88" s="2187"/>
      <c r="N88" s="338"/>
      <c r="O88" s="1628"/>
      <c r="P88" s="1628"/>
      <c r="AH88" s="1635">
        <v>0</v>
      </c>
    </row>
    <row s="1639" customFormat="1" customHeight="1" ht="0.75" hidden="1">
      <c r="A89" s="1783"/>
      <c r="B89" s="1783"/>
      <c r="C89" s="373" t="s">
        <v>1489</v>
      </c>
      <c r="D89" s="2479"/>
      <c r="E89" s="2221"/>
      <c r="F89" s="2400"/>
      <c r="G89" s="404"/>
      <c r="H89" s="1504"/>
      <c r="I89" s="655"/>
      <c r="J89" s="575"/>
      <c r="K89" s="1504"/>
      <c r="L89" s="218"/>
      <c r="M89" s="2187"/>
      <c r="N89" s="338"/>
      <c r="O89" s="1628"/>
      <c r="P89" s="1628"/>
      <c r="AH89" s="1635">
        <v>0</v>
      </c>
    </row>
    <row s="1639" customFormat="1" customHeight="1" ht="45" hidden="1">
      <c r="A90" s="1783" t="s">
        <v>300</v>
      </c>
      <c r="B90" s="1783" t="s">
        <v>301</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444</v>
      </c>
      <c r="M90" s="2188"/>
      <c r="N90" s="338"/>
      <c r="O90" s="1628"/>
      <c r="P90" s="1628"/>
      <c r="AH90" s="1635">
        <v>0</v>
      </c>
    </row>
    <row s="1639" customFormat="1" customHeight="1" ht="18.75" hidden="1">
      <c r="A91" s="1783"/>
      <c r="B91" s="1783"/>
      <c r="C91" s="373" t="s">
        <v>1482</v>
      </c>
      <c r="D91" s="2479"/>
      <c r="E91" s="2221"/>
      <c r="F91" s="2400"/>
      <c r="G91" s="2444"/>
      <c r="H91" s="1504"/>
      <c r="I91" s="655" t="s">
        <v>1481</v>
      </c>
      <c r="J91" s="575"/>
      <c r="K91" s="1504"/>
      <c r="L91" s="218"/>
      <c r="M91" s="1862"/>
      <c r="N91" s="338"/>
      <c r="O91" s="1628"/>
      <c r="P91" s="1628"/>
      <c r="AH91" s="1635">
        <v>0</v>
      </c>
    </row>
    <row s="1639" customFormat="1" customHeight="1" ht="0.75" hidden="1">
      <c r="A92" s="1783"/>
      <c r="B92" s="1783"/>
      <c r="C92" s="373" t="s">
        <v>1489</v>
      </c>
      <c r="D92" s="2479"/>
      <c r="E92" s="2221"/>
      <c r="F92" s="2400"/>
      <c r="G92" s="404"/>
      <c r="H92" s="1504"/>
      <c r="I92" s="655"/>
      <c r="J92" s="575"/>
      <c r="K92" s="1504"/>
      <c r="L92" s="218"/>
      <c r="M92" s="345"/>
      <c r="N92" s="338"/>
      <c r="O92" s="1628"/>
      <c r="P92" s="1628"/>
      <c r="AH92" s="1635">
        <v>0</v>
      </c>
    </row>
    <row s="1639" customFormat="1" customHeight="1" ht="45" hidden="1">
      <c r="A93" s="1783" t="s">
        <v>307</v>
      </c>
      <c r="B93" s="1783" t="s">
        <v>308</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444</v>
      </c>
      <c r="M93" s="345"/>
      <c r="N93" s="338"/>
      <c r="O93" s="1628"/>
      <c r="P93" s="1628"/>
      <c r="AH93" s="1635">
        <v>0</v>
      </c>
    </row>
    <row s="1639" customFormat="1" customHeight="1" ht="18.75" hidden="1">
      <c r="A94" s="1783"/>
      <c r="B94" s="1783"/>
      <c r="C94" s="373" t="s">
        <v>1482</v>
      </c>
      <c r="D94" s="2479"/>
      <c r="E94" s="2221"/>
      <c r="F94" s="2400"/>
      <c r="G94" s="2444"/>
      <c r="H94" s="1504"/>
      <c r="I94" s="655" t="s">
        <v>1481</v>
      </c>
      <c r="J94" s="575"/>
      <c r="K94" s="1504"/>
      <c r="L94" s="218"/>
      <c r="M94" s="345"/>
      <c r="N94" s="338"/>
      <c r="O94" s="1628"/>
      <c r="P94" s="1628"/>
      <c r="AH94" s="1635">
        <v>0</v>
      </c>
    </row>
    <row s="1639" customFormat="1" customHeight="1" ht="0.75" hidden="1">
      <c r="A95" s="1783"/>
      <c r="B95" s="1783"/>
      <c r="C95" s="373" t="s">
        <v>1489</v>
      </c>
      <c r="D95" s="2479"/>
      <c r="E95" s="2221"/>
      <c r="F95" s="2400"/>
      <c r="G95" s="404"/>
      <c r="H95" s="1504"/>
      <c r="I95" s="655"/>
      <c r="J95" s="575"/>
      <c r="K95" s="1504"/>
      <c r="L95" s="218"/>
      <c r="M95" s="345"/>
      <c r="N95" s="338"/>
      <c r="O95" s="1628"/>
      <c r="P95" s="1628"/>
      <c r="AH95" s="1635">
        <v>0</v>
      </c>
    </row>
    <row s="1639" customFormat="1" customHeight="1" ht="45" hidden="1">
      <c r="A96" s="1783" t="s">
        <v>313</v>
      </c>
      <c r="B96" s="1783" t="s">
        <v>314</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444</v>
      </c>
      <c r="M96" s="345"/>
      <c r="N96" s="338"/>
      <c r="O96" s="1628"/>
      <c r="P96" s="1628"/>
      <c r="AH96" s="1635">
        <v>0</v>
      </c>
    </row>
    <row s="1639" customFormat="1" customHeight="1" ht="18.75" hidden="1">
      <c r="A97" s="1783"/>
      <c r="B97" s="1783"/>
      <c r="C97" s="373" t="s">
        <v>1482</v>
      </c>
      <c r="D97" s="2479"/>
      <c r="E97" s="2221"/>
      <c r="F97" s="2400"/>
      <c r="G97" s="2444"/>
      <c r="H97" s="1504"/>
      <c r="I97" s="655" t="s">
        <v>1481</v>
      </c>
      <c r="J97" s="575"/>
      <c r="K97" s="1504"/>
      <c r="L97" s="218"/>
      <c r="M97" s="345"/>
      <c r="N97" s="338"/>
      <c r="O97" s="1628"/>
      <c r="P97" s="1628"/>
      <c r="AH97" s="1635">
        <v>0</v>
      </c>
    </row>
    <row s="1639" customFormat="1" customHeight="1" ht="0.75" hidden="1">
      <c r="A98" s="1783"/>
      <c r="B98" s="1783"/>
      <c r="C98" s="373" t="s">
        <v>1489</v>
      </c>
      <c r="D98" s="2479"/>
      <c r="E98" s="2221"/>
      <c r="F98" s="2400"/>
      <c r="G98" s="404"/>
      <c r="H98" s="1504"/>
      <c r="I98" s="655"/>
      <c r="J98" s="575"/>
      <c r="K98" s="1504"/>
      <c r="L98" s="218"/>
      <c r="M98" s="345"/>
      <c r="N98" s="338"/>
      <c r="O98" s="1628"/>
      <c r="P98" s="1628"/>
      <c r="AH98" s="1635">
        <v>0</v>
      </c>
    </row>
    <row s="1639" customFormat="1" customHeight="1" ht="18.75" hidden="1">
      <c r="A99" s="1783" t="s">
        <v>319</v>
      </c>
      <c r="B99" s="1783" t="s">
        <v>320</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444</v>
      </c>
      <c r="M99" s="345"/>
      <c r="N99" s="338"/>
      <c r="O99" s="1628"/>
      <c r="P99" s="1628"/>
      <c r="AH99" s="1635">
        <v>0</v>
      </c>
    </row>
    <row s="1639" customFormat="1" customHeight="1" ht="18.75" hidden="1">
      <c r="A100" s="1783"/>
      <c r="B100" s="1783"/>
      <c r="C100" s="373" t="s">
        <v>1482</v>
      </c>
      <c r="D100" s="2479"/>
      <c r="E100" s="2221"/>
      <c r="F100" s="2400"/>
      <c r="G100" s="2444"/>
      <c r="H100" s="1504"/>
      <c r="I100" s="655" t="s">
        <v>1481</v>
      </c>
      <c r="J100" s="575"/>
      <c r="K100" s="1504"/>
      <c r="L100" s="218"/>
      <c r="M100" s="345"/>
      <c r="N100" s="338"/>
      <c r="O100" s="1628"/>
      <c r="P100" s="1628"/>
      <c r="AH100" s="1635">
        <v>0</v>
      </c>
    </row>
    <row s="1639" customFormat="1" customHeight="1" ht="0.75" hidden="1">
      <c r="A101" s="1783"/>
      <c r="B101" s="1783"/>
      <c r="C101" s="373" t="s">
        <v>1489</v>
      </c>
      <c r="D101" s="2479"/>
      <c r="E101" s="2221"/>
      <c r="F101" s="2400"/>
      <c r="G101" s="404"/>
      <c r="H101" s="1504"/>
      <c r="I101" s="655"/>
      <c r="J101" s="575"/>
      <c r="K101" s="1504"/>
      <c r="L101" s="218"/>
      <c r="M101" s="345"/>
      <c r="N101" s="338"/>
      <c r="O101" s="1628"/>
      <c r="P101" s="1628"/>
      <c r="AH101" s="1635">
        <v>0</v>
      </c>
    </row>
    <row s="1639" customFormat="1" customHeight="1" ht="18.75" hidden="1">
      <c r="A102" s="1783" t="s">
        <v>325</v>
      </c>
      <c r="B102" s="1783" t="s">
        <v>326</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444</v>
      </c>
      <c r="M102" s="345"/>
      <c r="N102" s="338"/>
      <c r="O102" s="1628"/>
      <c r="P102" s="1628"/>
      <c r="AH102" s="1635">
        <v>0</v>
      </c>
    </row>
    <row s="1639" customFormat="1" customHeight="1" ht="18.75" hidden="1">
      <c r="A103" s="1783"/>
      <c r="B103" s="1783"/>
      <c r="C103" s="373" t="s">
        <v>1482</v>
      </c>
      <c r="D103" s="2479"/>
      <c r="E103" s="2221"/>
      <c r="F103" s="2400"/>
      <c r="G103" s="2444"/>
      <c r="H103" s="1504"/>
      <c r="I103" s="655" t="s">
        <v>1481</v>
      </c>
      <c r="J103" s="575"/>
      <c r="K103" s="1504"/>
      <c r="L103" s="218"/>
      <c r="M103" s="345"/>
      <c r="N103" s="338"/>
      <c r="O103" s="1628"/>
      <c r="P103" s="1628"/>
      <c r="AH103" s="1635">
        <v>0</v>
      </c>
    </row>
    <row s="1639" customFormat="1" customHeight="1" ht="0.75" hidden="1">
      <c r="A104" s="1783"/>
      <c r="B104" s="1783"/>
      <c r="C104" s="373" t="s">
        <v>1489</v>
      </c>
      <c r="D104" s="2479"/>
      <c r="E104" s="2221"/>
      <c r="F104" s="2400"/>
      <c r="G104" s="404"/>
      <c r="H104" s="1504"/>
      <c r="I104" s="655"/>
      <c r="J104" s="575"/>
      <c r="K104" s="1504"/>
      <c r="L104" s="218"/>
      <c r="M104" s="345"/>
      <c r="N104" s="338"/>
      <c r="O104" s="1628"/>
      <c r="P104" s="1628"/>
      <c r="AH104" s="1635">
        <v>0</v>
      </c>
    </row>
    <row s="1639" customFormat="1" customHeight="1" ht="18.75" hidden="1">
      <c r="A105" s="1783" t="s">
        <v>331</v>
      </c>
      <c r="B105" s="1783" t="s">
        <v>332</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444</v>
      </c>
      <c r="M105" s="345"/>
      <c r="N105" s="338"/>
      <c r="O105" s="1628"/>
      <c r="P105" s="1628"/>
      <c r="AH105" s="1635">
        <v>0</v>
      </c>
    </row>
    <row s="1639" customFormat="1" customHeight="1" ht="18.75" hidden="1">
      <c r="A106" s="1783"/>
      <c r="B106" s="1783"/>
      <c r="C106" s="373" t="s">
        <v>1482</v>
      </c>
      <c r="D106" s="2479"/>
      <c r="E106" s="2221"/>
      <c r="F106" s="2400"/>
      <c r="G106" s="2444"/>
      <c r="H106" s="1504"/>
      <c r="I106" s="655" t="s">
        <v>1481</v>
      </c>
      <c r="J106" s="575"/>
      <c r="K106" s="1504"/>
      <c r="L106" s="218"/>
      <c r="M106" s="345"/>
      <c r="N106" s="338"/>
      <c r="O106" s="1628"/>
      <c r="P106" s="1628"/>
      <c r="AH106" s="1635">
        <v>0</v>
      </c>
    </row>
    <row s="1639" customFormat="1" customHeight="1" ht="0.75" hidden="1">
      <c r="A107" s="1783"/>
      <c r="B107" s="1783"/>
      <c r="C107" s="373" t="s">
        <v>1489</v>
      </c>
      <c r="D107" s="2479"/>
      <c r="E107" s="2221"/>
      <c r="F107" s="2400"/>
      <c r="G107" s="404"/>
      <c r="H107" s="1504"/>
      <c r="I107" s="655"/>
      <c r="J107" s="575"/>
      <c r="K107" s="1504"/>
      <c r="L107" s="218"/>
      <c r="M107" s="345"/>
      <c r="N107" s="338"/>
      <c r="O107" s="1628"/>
      <c r="P107" s="1628"/>
      <c r="AH107" s="1635">
        <v>0</v>
      </c>
    </row>
    <row s="1639" customFormat="1" customHeight="1" ht="18.75" hidden="1">
      <c r="A108" s="1783" t="s">
        <v>337</v>
      </c>
      <c r="B108" s="1783" t="s">
        <v>338</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444</v>
      </c>
      <c r="M108" s="345"/>
      <c r="N108" s="338"/>
      <c r="O108" s="1628"/>
      <c r="P108" s="1628"/>
      <c r="AH108" s="1635">
        <v>0</v>
      </c>
    </row>
    <row s="1639" customFormat="1" customHeight="1" ht="18.75" hidden="1">
      <c r="A109" s="1783"/>
      <c r="B109" s="1783"/>
      <c r="C109" s="373" t="s">
        <v>1482</v>
      </c>
      <c r="D109" s="2479"/>
      <c r="E109" s="2221"/>
      <c r="F109" s="2400"/>
      <c r="G109" s="2444"/>
      <c r="H109" s="1504"/>
      <c r="I109" s="655" t="s">
        <v>1481</v>
      </c>
      <c r="J109" s="575"/>
      <c r="K109" s="1504"/>
      <c r="L109" s="218"/>
      <c r="M109" s="345"/>
      <c r="N109" s="338"/>
      <c r="O109" s="1628"/>
      <c r="P109" s="1628"/>
      <c r="AH109" s="1635">
        <v>0</v>
      </c>
    </row>
    <row s="1639" customFormat="1" customHeight="1" ht="0.75" hidden="1">
      <c r="A110" s="1783"/>
      <c r="B110" s="1783"/>
      <c r="C110" s="373" t="s">
        <v>1489</v>
      </c>
      <c r="D110" s="2479"/>
      <c r="E110" s="2221"/>
      <c r="F110" s="2400"/>
      <c r="G110" s="404"/>
      <c r="H110" s="1504"/>
      <c r="I110" s="655"/>
      <c r="J110" s="575"/>
      <c r="K110" s="1504"/>
      <c r="L110" s="218"/>
      <c r="M110" s="345"/>
      <c r="N110" s="338"/>
      <c r="O110" s="1628"/>
      <c r="P110" s="1628"/>
      <c r="AH110" s="1635">
        <v>0</v>
      </c>
    </row>
    <row s="1639" customFormat="1" customHeight="1" ht="18.75" hidden="1">
      <c r="A111" s="1783" t="s">
        <v>343</v>
      </c>
      <c r="B111" s="1783" t="s">
        <v>344</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444</v>
      </c>
      <c r="M111" s="345"/>
      <c r="N111" s="338"/>
      <c r="O111" s="1628"/>
      <c r="P111" s="1628"/>
      <c r="AH111" s="1635">
        <v>0</v>
      </c>
    </row>
    <row s="1639" customFormat="1" customHeight="1" ht="18.75" hidden="1">
      <c r="A112" s="1783"/>
      <c r="B112" s="1783"/>
      <c r="C112" s="373" t="s">
        <v>1482</v>
      </c>
      <c r="D112" s="2479"/>
      <c r="E112" s="2221"/>
      <c r="F112" s="2400"/>
      <c r="G112" s="2444"/>
      <c r="H112" s="1504"/>
      <c r="I112" s="655" t="s">
        <v>1481</v>
      </c>
      <c r="J112" s="575"/>
      <c r="K112" s="1504"/>
      <c r="L112" s="218"/>
      <c r="M112" s="345"/>
      <c r="N112" s="338"/>
      <c r="O112" s="1628"/>
      <c r="P112" s="1628"/>
      <c r="AH112" s="1635">
        <v>0</v>
      </c>
    </row>
    <row s="1639" customFormat="1" customHeight="1" ht="0.75" hidden="1">
      <c r="A113" s="1783"/>
      <c r="B113" s="1783"/>
      <c r="C113" s="373" t="s">
        <v>1489</v>
      </c>
      <c r="D113" s="2479"/>
      <c r="E113" s="2221"/>
      <c r="F113" s="2400"/>
      <c r="G113" s="404"/>
      <c r="H113" s="1504"/>
      <c r="I113" s="655"/>
      <c r="J113" s="575"/>
      <c r="K113" s="1504"/>
      <c r="L113" s="218"/>
      <c r="M113" s="345"/>
      <c r="N113" s="338"/>
      <c r="O113" s="1628"/>
      <c r="P113" s="1628"/>
      <c r="AH113" s="1635">
        <v>0</v>
      </c>
    </row>
    <row s="1639" customFormat="1" customHeight="1" ht="18.75" hidden="1">
      <c r="A114" s="1783" t="s">
        <v>363</v>
      </c>
      <c r="B114" s="1783" t="s">
        <v>364</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444</v>
      </c>
      <c r="M114" s="345"/>
      <c r="N114" s="338"/>
      <c r="O114" s="1628"/>
      <c r="P114" s="1628"/>
      <c r="AH114" s="1635">
        <v>0</v>
      </c>
    </row>
    <row s="1639" customFormat="1" customHeight="1" ht="18.75" hidden="1">
      <c r="A115" s="1783"/>
      <c r="B115" s="1783"/>
      <c r="C115" s="373" t="s">
        <v>1482</v>
      </c>
      <c r="D115" s="2479"/>
      <c r="E115" s="2221"/>
      <c r="F115" s="2400"/>
      <c r="G115" s="2444"/>
      <c r="H115" s="1504"/>
      <c r="I115" s="655" t="s">
        <v>1481</v>
      </c>
      <c r="J115" s="575"/>
      <c r="K115" s="1504"/>
      <c r="L115" s="218"/>
      <c r="M115" s="345"/>
      <c r="N115" s="338"/>
      <c r="O115" s="1628"/>
      <c r="P115" s="1628"/>
      <c r="AH115" s="1635">
        <v>0</v>
      </c>
    </row>
    <row s="1639" customFormat="1" customHeight="1" ht="0.75" hidden="1">
      <c r="A116" s="1783"/>
      <c r="B116" s="1783"/>
      <c r="C116" s="373" t="s">
        <v>1489</v>
      </c>
      <c r="D116" s="2479"/>
      <c r="E116" s="2221"/>
      <c r="F116" s="2400"/>
      <c r="G116" s="404"/>
      <c r="H116" s="1504"/>
      <c r="I116" s="655"/>
      <c r="J116" s="575"/>
      <c r="K116" s="1504"/>
      <c r="L116" s="218"/>
      <c r="M116" s="345"/>
      <c r="N116" s="338"/>
      <c r="O116" s="1628"/>
      <c r="P116" s="1628"/>
      <c r="AH116" s="1635">
        <v>0</v>
      </c>
    </row>
    <row s="1639" customFormat="1" customHeight="1" ht="18.75" hidden="1">
      <c r="A117" s="1783" t="s">
        <v>368</v>
      </c>
      <c r="B117" s="1783" t="s">
        <v>369</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444</v>
      </c>
      <c r="M117" s="345"/>
      <c r="N117" s="338"/>
      <c r="O117" s="1628"/>
      <c r="P117" s="1628"/>
      <c r="AH117" s="1635">
        <v>0</v>
      </c>
    </row>
    <row s="1639" customFormat="1" customHeight="1" ht="18.75" hidden="1">
      <c r="A118" s="1783"/>
      <c r="B118" s="1783"/>
      <c r="C118" s="373" t="s">
        <v>1482</v>
      </c>
      <c r="D118" s="2479"/>
      <c r="E118" s="2221"/>
      <c r="F118" s="2400"/>
      <c r="G118" s="2444"/>
      <c r="H118" s="1504"/>
      <c r="I118" s="655" t="s">
        <v>1481</v>
      </c>
      <c r="J118" s="575"/>
      <c r="K118" s="1504"/>
      <c r="L118" s="218"/>
      <c r="M118" s="345"/>
      <c r="N118" s="338"/>
      <c r="O118" s="1628"/>
      <c r="P118" s="1628"/>
      <c r="AH118" s="1635">
        <v>0</v>
      </c>
    </row>
    <row s="1639" customFormat="1" customHeight="1" ht="0.75" hidden="1">
      <c r="A119" s="1783"/>
      <c r="B119" s="1783"/>
      <c r="C119" s="373" t="s">
        <v>1489</v>
      </c>
      <c r="D119" s="2479"/>
      <c r="E119" s="2221"/>
      <c r="F119" s="2400"/>
      <c r="G119" s="404"/>
      <c r="H119" s="1504"/>
      <c r="I119" s="655"/>
      <c r="J119" s="575"/>
      <c r="K119" s="1504"/>
      <c r="L119" s="218"/>
      <c r="M119" s="345"/>
      <c r="N119" s="338"/>
      <c r="O119" s="1628"/>
      <c r="P119" s="1628"/>
      <c r="AH119" s="1635">
        <v>0</v>
      </c>
    </row>
    <row s="1639" customFormat="1" customHeight="1" ht="18.75" hidden="1">
      <c r="A120" s="1783" t="s">
        <v>373</v>
      </c>
      <c r="B120" s="1783" t="s">
        <v>374</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444</v>
      </c>
      <c r="M120" s="345"/>
      <c r="N120" s="338"/>
      <c r="O120" s="1628"/>
      <c r="P120" s="1628"/>
      <c r="AH120" s="1635">
        <v>0</v>
      </c>
    </row>
    <row s="1639" customFormat="1" customHeight="1" ht="18.75" hidden="1">
      <c r="A121" s="1783"/>
      <c r="B121" s="1783"/>
      <c r="C121" s="373" t="s">
        <v>1482</v>
      </c>
      <c r="D121" s="2479"/>
      <c r="E121" s="2221"/>
      <c r="F121" s="2400"/>
      <c r="G121" s="2444"/>
      <c r="H121" s="1504"/>
      <c r="I121" s="655" t="s">
        <v>1481</v>
      </c>
      <c r="J121" s="575"/>
      <c r="K121" s="1504"/>
      <c r="L121" s="218"/>
      <c r="M121" s="345"/>
      <c r="N121" s="338"/>
      <c r="O121" s="1628"/>
      <c r="P121" s="1628"/>
      <c r="AH121" s="1635">
        <v>0</v>
      </c>
    </row>
    <row s="1639" customFormat="1" customHeight="1" ht="0.75" hidden="1">
      <c r="A122" s="1783"/>
      <c r="B122" s="1783"/>
      <c r="C122" s="373" t="s">
        <v>1489</v>
      </c>
      <c r="D122" s="2479"/>
      <c r="E122" s="2221"/>
      <c r="F122" s="2400"/>
      <c r="G122" s="404"/>
      <c r="H122" s="1504"/>
      <c r="I122" s="655"/>
      <c r="J122" s="575"/>
      <c r="K122" s="1504"/>
      <c r="L122" s="218"/>
      <c r="M122" s="345"/>
      <c r="N122" s="338"/>
      <c r="O122" s="1628"/>
      <c r="P122" s="1628"/>
      <c r="AH122" s="1635">
        <v>0</v>
      </c>
    </row>
    <row s="1639" customFormat="1" customHeight="1" ht="18.75" hidden="1">
      <c r="A123" s="1783" t="s">
        <v>378</v>
      </c>
      <c r="B123" s="1783" t="s">
        <v>379</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444</v>
      </c>
      <c r="M123" s="345"/>
      <c r="N123" s="338"/>
      <c r="O123" s="1628"/>
      <c r="P123" s="1628"/>
      <c r="AH123" s="1635">
        <v>0</v>
      </c>
    </row>
    <row s="1639" customFormat="1" customHeight="1" ht="18.75" hidden="1">
      <c r="A124" s="1783"/>
      <c r="B124" s="1783"/>
      <c r="C124" s="373" t="s">
        <v>1482</v>
      </c>
      <c r="D124" s="2479"/>
      <c r="E124" s="2221"/>
      <c r="F124" s="2400"/>
      <c r="G124" s="2444"/>
      <c r="H124" s="1504"/>
      <c r="I124" s="655" t="s">
        <v>1481</v>
      </c>
      <c r="J124" s="575"/>
      <c r="K124" s="1504"/>
      <c r="L124" s="218"/>
      <c r="M124" s="345"/>
      <c r="N124" s="338"/>
      <c r="O124" s="1628"/>
      <c r="P124" s="1628"/>
      <c r="AH124" s="1635">
        <v>0</v>
      </c>
    </row>
    <row s="1639" customFormat="1" customHeight="1" ht="0.75" hidden="1">
      <c r="A125" s="1783"/>
      <c r="B125" s="1783"/>
      <c r="C125" s="373" t="s">
        <v>1489</v>
      </c>
      <c r="D125" s="2479"/>
      <c r="E125" s="2221"/>
      <c r="F125" s="2400"/>
      <c r="G125" s="404"/>
      <c r="H125" s="1504"/>
      <c r="I125" s="655"/>
      <c r="J125" s="575"/>
      <c r="K125" s="1504"/>
      <c r="L125" s="218"/>
      <c r="M125" s="345"/>
      <c r="N125" s="338"/>
      <c r="O125" s="1628"/>
      <c r="P125" s="1628"/>
      <c r="AH125" s="1635">
        <v>0</v>
      </c>
    </row>
    <row s="1639" customFormat="1" customHeight="1" ht="18.75" hidden="1">
      <c r="A126" s="1783" t="s">
        <v>383</v>
      </c>
      <c r="B126" s="1783" t="s">
        <v>384</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444</v>
      </c>
      <c r="M126" s="345"/>
      <c r="N126" s="338"/>
      <c r="O126" s="1628"/>
      <c r="P126" s="1628"/>
      <c r="AH126" s="1635">
        <v>0</v>
      </c>
    </row>
    <row s="1639" customFormat="1" customHeight="1" ht="18.75" hidden="1">
      <c r="A127" s="1783"/>
      <c r="B127" s="1783"/>
      <c r="C127" s="373" t="s">
        <v>1482</v>
      </c>
      <c r="D127" s="2479"/>
      <c r="E127" s="2221"/>
      <c r="F127" s="2400"/>
      <c r="G127" s="2444"/>
      <c r="H127" s="1504"/>
      <c r="I127" s="655" t="s">
        <v>1481</v>
      </c>
      <c r="J127" s="575"/>
      <c r="K127" s="1504"/>
      <c r="L127" s="218"/>
      <c r="M127" s="345"/>
      <c r="N127" s="338"/>
      <c r="O127" s="1628"/>
      <c r="P127" s="1628"/>
      <c r="AH127" s="1635">
        <v>0</v>
      </c>
    </row>
    <row s="1639" customFormat="1" customHeight="1" ht="0.75" hidden="1">
      <c r="A128" s="1783"/>
      <c r="B128" s="1783"/>
      <c r="C128" s="373" t="s">
        <v>1489</v>
      </c>
      <c r="D128" s="2479"/>
      <c r="E128" s="2221"/>
      <c r="F128" s="2400"/>
      <c r="G128" s="404"/>
      <c r="H128" s="1504"/>
      <c r="I128" s="655"/>
      <c r="J128" s="575"/>
      <c r="K128" s="1504"/>
      <c r="L128" s="218"/>
      <c r="M128" s="345"/>
      <c r="N128" s="338"/>
      <c r="O128" s="1628"/>
      <c r="P128" s="1628"/>
      <c r="AH128" s="1635">
        <v>0</v>
      </c>
    </row>
    <row s="1639" customFormat="1" customHeight="1" ht="18.75" hidden="1">
      <c r="A129" s="1783" t="s">
        <v>388</v>
      </c>
      <c r="B129" s="1783" t="s">
        <v>389</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444</v>
      </c>
      <c r="M129" s="345"/>
      <c r="N129" s="338"/>
      <c r="O129" s="1628"/>
      <c r="P129" s="1628"/>
      <c r="AH129" s="1635">
        <v>0</v>
      </c>
    </row>
    <row s="1639" customFormat="1" customHeight="1" ht="18.75" hidden="1">
      <c r="A130" s="1783"/>
      <c r="B130" s="1783"/>
      <c r="C130" s="373" t="s">
        <v>1482</v>
      </c>
      <c r="D130" s="2479"/>
      <c r="E130" s="2221"/>
      <c r="F130" s="2400"/>
      <c r="G130" s="2444"/>
      <c r="H130" s="1504"/>
      <c r="I130" s="655" t="s">
        <v>1481</v>
      </c>
      <c r="J130" s="575"/>
      <c r="K130" s="1504"/>
      <c r="L130" s="218"/>
      <c r="M130" s="345"/>
      <c r="N130" s="338"/>
      <c r="O130" s="1628"/>
      <c r="P130" s="1628"/>
      <c r="AH130" s="1635">
        <v>0</v>
      </c>
    </row>
    <row s="1639" customFormat="1" customHeight="1" ht="0.75" hidden="1">
      <c r="A131" s="1783"/>
      <c r="B131" s="1783"/>
      <c r="C131" s="373" t="s">
        <v>1489</v>
      </c>
      <c r="D131" s="2479"/>
      <c r="E131" s="2221"/>
      <c r="F131" s="2400"/>
      <c r="G131" s="404"/>
      <c r="H131" s="1504"/>
      <c r="I131" s="655"/>
      <c r="J131" s="575"/>
      <c r="K131" s="1504"/>
      <c r="L131" s="218"/>
      <c r="M131" s="345"/>
      <c r="N131" s="338"/>
      <c r="O131" s="1628"/>
      <c r="P131" s="1628"/>
      <c r="AH131" s="1635">
        <v>0</v>
      </c>
    </row>
    <row s="1639" customFormat="1" customHeight="1" ht="18.75" hidden="1">
      <c r="A132" s="1783" t="s">
        <v>393</v>
      </c>
      <c r="B132" s="1783" t="s">
        <v>394</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444</v>
      </c>
      <c r="M132" s="345"/>
      <c r="N132" s="338"/>
      <c r="O132" s="1628"/>
      <c r="P132" s="1628"/>
      <c r="AH132" s="1635">
        <v>0</v>
      </c>
    </row>
    <row s="1639" customFormat="1" customHeight="1" ht="18.75" hidden="1">
      <c r="A133" s="1783"/>
      <c r="B133" s="1783"/>
      <c r="C133" s="373" t="s">
        <v>1482</v>
      </c>
      <c r="D133" s="2479"/>
      <c r="E133" s="2221"/>
      <c r="F133" s="2400"/>
      <c r="G133" s="2444"/>
      <c r="H133" s="1504"/>
      <c r="I133" s="655" t="s">
        <v>1481</v>
      </c>
      <c r="J133" s="575"/>
      <c r="K133" s="1504"/>
      <c r="L133" s="218"/>
      <c r="M133" s="345"/>
      <c r="N133" s="338"/>
      <c r="O133" s="1628"/>
      <c r="P133" s="1628"/>
      <c r="AH133" s="1635">
        <v>0</v>
      </c>
    </row>
    <row s="1639" customFormat="1" customHeight="1" ht="0.75" hidden="1">
      <c r="A134" s="1783"/>
      <c r="B134" s="1783"/>
      <c r="C134" s="373" t="s">
        <v>1489</v>
      </c>
      <c r="D134" s="2479"/>
      <c r="E134" s="2221"/>
      <c r="F134" s="2400"/>
      <c r="G134" s="404"/>
      <c r="H134" s="1504"/>
      <c r="I134" s="655"/>
      <c r="J134" s="575"/>
      <c r="K134" s="1504"/>
      <c r="L134" s="218"/>
      <c r="M134" s="345"/>
      <c r="N134" s="338"/>
      <c r="O134" s="1628"/>
      <c r="P134" s="1628"/>
      <c r="AH134" s="1635">
        <v>0</v>
      </c>
    </row>
    <row s="1639" customFormat="1" customHeight="1" ht="18.75" hidden="1">
      <c r="A135" s="1783" t="s">
        <v>398</v>
      </c>
      <c r="B135" s="1783" t="s">
        <v>399</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444</v>
      </c>
      <c r="M135" s="345"/>
      <c r="N135" s="338"/>
      <c r="O135" s="1628"/>
      <c r="P135" s="1628"/>
      <c r="AH135" s="1635">
        <v>0</v>
      </c>
    </row>
    <row s="1639" customFormat="1" customHeight="1" ht="18.75" hidden="1">
      <c r="A136" s="1783"/>
      <c r="B136" s="1783"/>
      <c r="C136" s="373" t="s">
        <v>1482</v>
      </c>
      <c r="D136" s="2479"/>
      <c r="E136" s="2221"/>
      <c r="F136" s="2400"/>
      <c r="G136" s="2444"/>
      <c r="H136" s="1504"/>
      <c r="I136" s="655" t="s">
        <v>1481</v>
      </c>
      <c r="J136" s="575"/>
      <c r="K136" s="1504"/>
      <c r="L136" s="218"/>
      <c r="M136" s="345"/>
      <c r="N136" s="338"/>
      <c r="O136" s="1628"/>
      <c r="P136" s="1628"/>
      <c r="AH136" s="1635">
        <v>0</v>
      </c>
    </row>
    <row s="1639" customFormat="1" customHeight="1" ht="0.75" hidden="1">
      <c r="A137" s="1783"/>
      <c r="B137" s="1783"/>
      <c r="C137" s="373" t="s">
        <v>1489</v>
      </c>
      <c r="D137" s="2479"/>
      <c r="E137" s="2221"/>
      <c r="F137" s="2400"/>
      <c r="G137" s="404"/>
      <c r="H137" s="1504"/>
      <c r="I137" s="655"/>
      <c r="J137" s="575"/>
      <c r="K137" s="1504"/>
      <c r="L137" s="218"/>
      <c r="M137" s="345"/>
      <c r="N137" s="338"/>
      <c r="O137" s="1628"/>
      <c r="P137" s="1628"/>
      <c r="AH137" s="1635">
        <v>0</v>
      </c>
    </row>
    <row s="1639" customFormat="1" customHeight="1" ht="18.75" hidden="1">
      <c r="A138" s="1783" t="s">
        <v>403</v>
      </c>
      <c r="B138" s="1783" t="s">
        <v>404</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444</v>
      </c>
      <c r="M138" s="345"/>
      <c r="N138" s="338"/>
      <c r="O138" s="1628"/>
      <c r="P138" s="1628"/>
      <c r="AH138" s="1635">
        <v>0</v>
      </c>
    </row>
    <row s="1639" customFormat="1" customHeight="1" ht="18.75" hidden="1">
      <c r="A139" s="1783"/>
      <c r="B139" s="1783"/>
      <c r="C139" s="373" t="s">
        <v>1482</v>
      </c>
      <c r="D139" s="2479"/>
      <c r="E139" s="2221"/>
      <c r="F139" s="2400"/>
      <c r="G139" s="2444"/>
      <c r="H139" s="1504"/>
      <c r="I139" s="655" t="s">
        <v>1481</v>
      </c>
      <c r="J139" s="575"/>
      <c r="K139" s="1504"/>
      <c r="L139" s="218"/>
      <c r="M139" s="345"/>
      <c r="N139" s="338"/>
      <c r="O139" s="1628"/>
      <c r="P139" s="1628"/>
      <c r="AH139" s="1635">
        <v>0</v>
      </c>
    </row>
    <row s="1639" customFormat="1" customHeight="1" ht="0.75" hidden="1">
      <c r="A140" s="1783"/>
      <c r="B140" s="1783"/>
      <c r="C140" s="373" t="s">
        <v>1489</v>
      </c>
      <c r="D140" s="2479"/>
      <c r="E140" s="2221"/>
      <c r="F140" s="2400"/>
      <c r="G140" s="404"/>
      <c r="H140" s="1504"/>
      <c r="I140" s="655"/>
      <c r="J140" s="575"/>
      <c r="K140" s="1504"/>
      <c r="L140" s="218"/>
      <c r="M140" s="345"/>
      <c r="N140" s="338"/>
      <c r="O140" s="1628"/>
      <c r="P140" s="1628"/>
      <c r="AH140" s="1635">
        <v>0</v>
      </c>
    </row>
    <row s="1639" customFormat="1" customHeight="1" ht="18.75" hidden="1">
      <c r="A141" s="1783" t="s">
        <v>408</v>
      </c>
      <c r="B141" s="1783" t="s">
        <v>409</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444</v>
      </c>
      <c r="M141" s="345"/>
      <c r="N141" s="338"/>
      <c r="O141" s="1628"/>
      <c r="P141" s="1628"/>
      <c r="AH141" s="1635">
        <v>0</v>
      </c>
    </row>
    <row s="1639" customFormat="1" customHeight="1" ht="18.75" hidden="1">
      <c r="A142" s="1783"/>
      <c r="B142" s="1783"/>
      <c r="C142" s="373" t="s">
        <v>1482</v>
      </c>
      <c r="D142" s="2479"/>
      <c r="E142" s="2221"/>
      <c r="F142" s="2400"/>
      <c r="G142" s="2444"/>
      <c r="H142" s="1504"/>
      <c r="I142" s="655" t="s">
        <v>1481</v>
      </c>
      <c r="J142" s="575"/>
      <c r="K142" s="1504"/>
      <c r="L142" s="218"/>
      <c r="M142" s="345"/>
      <c r="N142" s="338"/>
      <c r="O142" s="1628"/>
      <c r="P142" s="1628"/>
      <c r="AH142" s="1635">
        <v>0</v>
      </c>
    </row>
    <row s="1639" customFormat="1" customHeight="1" ht="0.75" hidden="1">
      <c r="A143" s="1783"/>
      <c r="B143" s="1783"/>
      <c r="C143" s="373" t="s">
        <v>1489</v>
      </c>
      <c r="D143" s="2479"/>
      <c r="E143" s="2221"/>
      <c r="F143" s="2400"/>
      <c r="G143" s="404"/>
      <c r="H143" s="1504"/>
      <c r="I143" s="655"/>
      <c r="J143" s="575"/>
      <c r="K143" s="1504"/>
      <c r="L143" s="218"/>
      <c r="M143" s="345"/>
      <c r="N143" s="338"/>
      <c r="O143" s="1628"/>
      <c r="P143" s="1628"/>
      <c r="AH143" s="1635">
        <v>0</v>
      </c>
    </row>
    <row s="1639" customFormat="1" customHeight="1" ht="18.75" hidden="1">
      <c r="A144" s="1783" t="s">
        <v>413</v>
      </c>
      <c r="B144" s="1783" t="s">
        <v>414</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444</v>
      </c>
      <c r="M144" s="345"/>
      <c r="N144" s="338"/>
      <c r="O144" s="1628"/>
      <c r="P144" s="1628"/>
      <c r="AH144" s="1635">
        <v>0</v>
      </c>
    </row>
    <row s="1639" customFormat="1" customHeight="1" ht="18.75" hidden="1">
      <c r="A145" s="1783"/>
      <c r="B145" s="1783"/>
      <c r="C145" s="373" t="s">
        <v>1482</v>
      </c>
      <c r="D145" s="2479"/>
      <c r="E145" s="2221"/>
      <c r="F145" s="2400"/>
      <c r="G145" s="2444"/>
      <c r="H145" s="1504"/>
      <c r="I145" s="655" t="s">
        <v>1481</v>
      </c>
      <c r="J145" s="575"/>
      <c r="K145" s="1504"/>
      <c r="L145" s="218"/>
      <c r="M145" s="345"/>
      <c r="N145" s="338"/>
      <c r="O145" s="1628"/>
      <c r="P145" s="1628"/>
      <c r="AH145" s="1635">
        <v>0</v>
      </c>
    </row>
    <row s="1639" customFormat="1" customHeight="1" ht="1.05">
      <c r="A146" s="1783"/>
      <c r="B146" s="1783"/>
      <c r="C146" s="373" t="s">
        <v>1489</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7"/>
      <c r="H147" s="2477"/>
      <c r="I147" s="2477"/>
      <c r="J147" s="2477"/>
      <c r="K147" s="2477"/>
      <c r="L147" s="2477"/>
      <c r="M147" s="301"/>
      <c r="N147" s="338"/>
      <c r="AH147" s="378">
        <v>19</v>
      </c>
    </row>
    <row s="1639" customFormat="1" customHeight="1" ht="60.75" hidden="1">
      <c r="A148" s="1783" t="s">
        <v>295</v>
      </c>
      <c r="B148" s="1783" t="s">
        <v>296</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444</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1482</v>
      </c>
      <c r="D149" s="2479"/>
      <c r="E149" s="2221"/>
      <c r="F149" s="2400"/>
      <c r="G149" s="2444"/>
      <c r="H149" s="1504"/>
      <c r="I149" s="655" t="s">
        <v>1481</v>
      </c>
      <c r="J149" s="575"/>
      <c r="K149" s="1504"/>
      <c r="L149" s="218"/>
      <c r="M149" s="2187"/>
      <c r="N149" s="338"/>
      <c r="O149" s="1628"/>
      <c r="P149" s="1628"/>
      <c r="AH149" s="1635">
        <v>0</v>
      </c>
    </row>
    <row s="1639" customFormat="1" customHeight="1" ht="0.75" hidden="1">
      <c r="A150" s="1783"/>
      <c r="B150" s="1783"/>
      <c r="C150" s="373" t="s">
        <v>1489</v>
      </c>
      <c r="D150" s="2479"/>
      <c r="E150" s="2221"/>
      <c r="F150" s="2400"/>
      <c r="G150" s="404"/>
      <c r="H150" s="1504"/>
      <c r="I150" s="655"/>
      <c r="J150" s="575"/>
      <c r="K150" s="1504"/>
      <c r="L150" s="218"/>
      <c r="M150" s="2187"/>
      <c r="N150" s="338"/>
      <c r="O150" s="1628"/>
      <c r="P150" s="1628"/>
      <c r="AH150" s="1635">
        <v>0</v>
      </c>
    </row>
    <row s="1639" customFormat="1" customHeight="1" ht="45" hidden="1">
      <c r="A151" s="1783" t="s">
        <v>300</v>
      </c>
      <c r="B151" s="1783" t="s">
        <v>301</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444</v>
      </c>
      <c r="M151" s="2188"/>
      <c r="N151" s="338"/>
      <c r="O151" s="1628"/>
      <c r="P151" s="1628"/>
      <c r="AH151" s="1635">
        <v>0</v>
      </c>
    </row>
    <row s="1639" customFormat="1" customHeight="1" ht="18.75" hidden="1">
      <c r="A152" s="1783"/>
      <c r="B152" s="1783"/>
      <c r="C152" s="373" t="s">
        <v>1482</v>
      </c>
      <c r="D152" s="2479"/>
      <c r="E152" s="2221"/>
      <c r="F152" s="2400"/>
      <c r="G152" s="2444"/>
      <c r="H152" s="1504"/>
      <c r="I152" s="655" t="s">
        <v>1481</v>
      </c>
      <c r="J152" s="575"/>
      <c r="K152" s="1504"/>
      <c r="L152" s="218"/>
      <c r="M152" s="1862"/>
      <c r="N152" s="338"/>
      <c r="O152" s="1628"/>
      <c r="P152" s="1628"/>
      <c r="AH152" s="1635">
        <v>0</v>
      </c>
    </row>
    <row s="1639" customFormat="1" customHeight="1" ht="0.75" hidden="1">
      <c r="A153" s="1783"/>
      <c r="B153" s="1783"/>
      <c r="C153" s="373" t="s">
        <v>1489</v>
      </c>
      <c r="D153" s="2479"/>
      <c r="E153" s="2221"/>
      <c r="F153" s="2400"/>
      <c r="G153" s="404"/>
      <c r="H153" s="1504"/>
      <c r="I153" s="655"/>
      <c r="J153" s="575"/>
      <c r="K153" s="1504"/>
      <c r="L153" s="218"/>
      <c r="M153" s="345"/>
      <c r="N153" s="338"/>
      <c r="O153" s="1628"/>
      <c r="P153" s="1628"/>
      <c r="AH153" s="1635">
        <v>0</v>
      </c>
    </row>
    <row s="1639" customFormat="1" customHeight="1" ht="45" hidden="1">
      <c r="A154" s="1783" t="s">
        <v>307</v>
      </c>
      <c r="B154" s="1783" t="s">
        <v>308</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444</v>
      </c>
      <c r="M154" s="345"/>
      <c r="N154" s="338"/>
      <c r="O154" s="1628"/>
      <c r="P154" s="1628"/>
      <c r="AH154" s="1635">
        <v>0</v>
      </c>
    </row>
    <row s="1639" customFormat="1" customHeight="1" ht="18.75" hidden="1">
      <c r="A155" s="1783"/>
      <c r="B155" s="1783"/>
      <c r="C155" s="373" t="s">
        <v>1482</v>
      </c>
      <c r="D155" s="2479"/>
      <c r="E155" s="2221"/>
      <c r="F155" s="2400"/>
      <c r="G155" s="2444"/>
      <c r="H155" s="1504"/>
      <c r="I155" s="655" t="s">
        <v>1481</v>
      </c>
      <c r="J155" s="575"/>
      <c r="K155" s="1504"/>
      <c r="L155" s="218"/>
      <c r="M155" s="345"/>
      <c r="N155" s="338"/>
      <c r="O155" s="1628"/>
      <c r="P155" s="1628"/>
      <c r="AH155" s="1635">
        <v>0</v>
      </c>
    </row>
    <row s="1639" customFormat="1" customHeight="1" ht="0.75" hidden="1">
      <c r="A156" s="1783"/>
      <c r="B156" s="1783"/>
      <c r="C156" s="373" t="s">
        <v>1489</v>
      </c>
      <c r="D156" s="2479"/>
      <c r="E156" s="2221"/>
      <c r="F156" s="2400"/>
      <c r="G156" s="404"/>
      <c r="H156" s="1504"/>
      <c r="I156" s="655"/>
      <c r="J156" s="575"/>
      <c r="K156" s="1504"/>
      <c r="L156" s="218"/>
      <c r="M156" s="345"/>
      <c r="N156" s="338"/>
      <c r="O156" s="1628"/>
      <c r="P156" s="1628"/>
      <c r="AH156" s="1635">
        <v>0</v>
      </c>
    </row>
    <row s="1639" customFormat="1" customHeight="1" ht="45" hidden="1">
      <c r="A157" s="1783" t="s">
        <v>313</v>
      </c>
      <c r="B157" s="1783" t="s">
        <v>314</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444</v>
      </c>
      <c r="M157" s="345"/>
      <c r="N157" s="338"/>
      <c r="O157" s="1628"/>
      <c r="P157" s="1628"/>
      <c r="AH157" s="1635">
        <v>0</v>
      </c>
    </row>
    <row s="1639" customFormat="1" customHeight="1" ht="18.75" hidden="1">
      <c r="A158" s="1783"/>
      <c r="B158" s="1783"/>
      <c r="C158" s="373" t="s">
        <v>1482</v>
      </c>
      <c r="D158" s="2479"/>
      <c r="E158" s="2221"/>
      <c r="F158" s="2400"/>
      <c r="G158" s="2444"/>
      <c r="H158" s="1504"/>
      <c r="I158" s="655" t="s">
        <v>1481</v>
      </c>
      <c r="J158" s="575"/>
      <c r="K158" s="1504"/>
      <c r="L158" s="218"/>
      <c r="M158" s="345"/>
      <c r="N158" s="338"/>
      <c r="O158" s="1628"/>
      <c r="P158" s="1628"/>
      <c r="AH158" s="1635">
        <v>0</v>
      </c>
    </row>
    <row s="1639" customFormat="1" customHeight="1" ht="0.75" hidden="1">
      <c r="A159" s="1783"/>
      <c r="B159" s="1783"/>
      <c r="C159" s="373" t="s">
        <v>1489</v>
      </c>
      <c r="D159" s="2479"/>
      <c r="E159" s="2221"/>
      <c r="F159" s="2400"/>
      <c r="G159" s="404"/>
      <c r="H159" s="1504"/>
      <c r="I159" s="655"/>
      <c r="J159" s="575"/>
      <c r="K159" s="1504"/>
      <c r="L159" s="218"/>
      <c r="M159" s="345"/>
      <c r="N159" s="338"/>
      <c r="O159" s="1628"/>
      <c r="P159" s="1628"/>
      <c r="AH159" s="1635">
        <v>0</v>
      </c>
    </row>
    <row s="1639" customFormat="1" customHeight="1" ht="18.75" hidden="1">
      <c r="A160" s="1783" t="s">
        <v>319</v>
      </c>
      <c r="B160" s="1783" t="s">
        <v>320</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444</v>
      </c>
      <c r="M160" s="345"/>
      <c r="N160" s="338"/>
      <c r="O160" s="1628"/>
      <c r="P160" s="1628"/>
      <c r="AH160" s="1635">
        <v>0</v>
      </c>
    </row>
    <row s="1639" customFormat="1" customHeight="1" ht="18.75" hidden="1">
      <c r="A161" s="1783"/>
      <c r="B161" s="1783"/>
      <c r="C161" s="373" t="s">
        <v>1482</v>
      </c>
      <c r="D161" s="2479"/>
      <c r="E161" s="2221"/>
      <c r="F161" s="2400"/>
      <c r="G161" s="2444"/>
      <c r="H161" s="1504"/>
      <c r="I161" s="655" t="s">
        <v>1481</v>
      </c>
      <c r="J161" s="575"/>
      <c r="K161" s="1504"/>
      <c r="L161" s="218"/>
      <c r="M161" s="345"/>
      <c r="N161" s="338"/>
      <c r="O161" s="1628"/>
      <c r="P161" s="1628"/>
      <c r="AH161" s="1635">
        <v>0</v>
      </c>
    </row>
    <row s="1639" customFormat="1" customHeight="1" ht="0.75" hidden="1">
      <c r="A162" s="1783"/>
      <c r="B162" s="1783"/>
      <c r="C162" s="373" t="s">
        <v>1489</v>
      </c>
      <c r="D162" s="2479"/>
      <c r="E162" s="2221"/>
      <c r="F162" s="2400"/>
      <c r="G162" s="404"/>
      <c r="H162" s="1504"/>
      <c r="I162" s="655"/>
      <c r="J162" s="575"/>
      <c r="K162" s="1504"/>
      <c r="L162" s="218"/>
      <c r="M162" s="345"/>
      <c r="N162" s="338"/>
      <c r="O162" s="1628"/>
      <c r="P162" s="1628"/>
      <c r="AH162" s="1635">
        <v>0</v>
      </c>
    </row>
    <row s="1639" customFormat="1" customHeight="1" ht="18.75" hidden="1">
      <c r="A163" s="1783" t="s">
        <v>325</v>
      </c>
      <c r="B163" s="1783" t="s">
        <v>326</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444</v>
      </c>
      <c r="M163" s="345"/>
      <c r="N163" s="338"/>
      <c r="O163" s="1628"/>
      <c r="P163" s="1628"/>
      <c r="AH163" s="1635">
        <v>0</v>
      </c>
    </row>
    <row s="1639" customFormat="1" customHeight="1" ht="18.75" hidden="1">
      <c r="A164" s="1783"/>
      <c r="B164" s="1783"/>
      <c r="C164" s="373" t="s">
        <v>1482</v>
      </c>
      <c r="D164" s="2479"/>
      <c r="E164" s="2221"/>
      <c r="F164" s="2400"/>
      <c r="G164" s="2444"/>
      <c r="H164" s="1504"/>
      <c r="I164" s="655" t="s">
        <v>1481</v>
      </c>
      <c r="J164" s="575"/>
      <c r="K164" s="1504"/>
      <c r="L164" s="218"/>
      <c r="M164" s="345"/>
      <c r="N164" s="338"/>
      <c r="O164" s="1628"/>
      <c r="P164" s="1628"/>
      <c r="AH164" s="1635">
        <v>0</v>
      </c>
    </row>
    <row s="1639" customFormat="1" customHeight="1" ht="0.75" hidden="1">
      <c r="A165" s="1783"/>
      <c r="B165" s="1783"/>
      <c r="C165" s="373" t="s">
        <v>1489</v>
      </c>
      <c r="D165" s="2479"/>
      <c r="E165" s="2221"/>
      <c r="F165" s="2400"/>
      <c r="G165" s="404"/>
      <c r="H165" s="1504"/>
      <c r="I165" s="655"/>
      <c r="J165" s="575"/>
      <c r="K165" s="1504"/>
      <c r="L165" s="218"/>
      <c r="M165" s="345"/>
      <c r="N165" s="338"/>
      <c r="O165" s="1628"/>
      <c r="P165" s="1628"/>
      <c r="AH165" s="1635">
        <v>0</v>
      </c>
    </row>
    <row s="1639" customFormat="1" customHeight="1" ht="18.75" hidden="1">
      <c r="A166" s="1783" t="s">
        <v>331</v>
      </c>
      <c r="B166" s="1783" t="s">
        <v>332</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444</v>
      </c>
      <c r="M166" s="345"/>
      <c r="N166" s="338"/>
      <c r="O166" s="1628"/>
      <c r="P166" s="1628"/>
      <c r="AH166" s="1635">
        <v>0</v>
      </c>
    </row>
    <row s="1639" customFormat="1" customHeight="1" ht="18.75" hidden="1">
      <c r="A167" s="1783"/>
      <c r="B167" s="1783"/>
      <c r="C167" s="373" t="s">
        <v>1482</v>
      </c>
      <c r="D167" s="2479"/>
      <c r="E167" s="2221"/>
      <c r="F167" s="2400"/>
      <c r="G167" s="2444"/>
      <c r="H167" s="1504"/>
      <c r="I167" s="655" t="s">
        <v>1481</v>
      </c>
      <c r="J167" s="575"/>
      <c r="K167" s="1504"/>
      <c r="L167" s="218"/>
      <c r="M167" s="345"/>
      <c r="N167" s="338"/>
      <c r="O167" s="1628"/>
      <c r="P167" s="1628"/>
      <c r="AH167" s="1635">
        <v>0</v>
      </c>
    </row>
    <row s="1639" customFormat="1" customHeight="1" ht="0.75" hidden="1">
      <c r="A168" s="1783"/>
      <c r="B168" s="1783"/>
      <c r="C168" s="373" t="s">
        <v>1489</v>
      </c>
      <c r="D168" s="2479"/>
      <c r="E168" s="2221"/>
      <c r="F168" s="2400"/>
      <c r="G168" s="404"/>
      <c r="H168" s="1504"/>
      <c r="I168" s="655"/>
      <c r="J168" s="575"/>
      <c r="K168" s="1504"/>
      <c r="L168" s="218"/>
      <c r="M168" s="345"/>
      <c r="N168" s="338"/>
      <c r="O168" s="1628"/>
      <c r="P168" s="1628"/>
      <c r="AH168" s="1635">
        <v>0</v>
      </c>
    </row>
    <row s="1639" customFormat="1" customHeight="1" ht="18.75" hidden="1">
      <c r="A169" s="1783" t="s">
        <v>337</v>
      </c>
      <c r="B169" s="1783" t="s">
        <v>338</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444</v>
      </c>
      <c r="M169" s="345"/>
      <c r="N169" s="338"/>
      <c r="O169" s="1628"/>
      <c r="P169" s="1628"/>
      <c r="AH169" s="1635">
        <v>0</v>
      </c>
    </row>
    <row s="1639" customFormat="1" customHeight="1" ht="18.75" hidden="1">
      <c r="A170" s="1783"/>
      <c r="B170" s="1783"/>
      <c r="C170" s="373" t="s">
        <v>1482</v>
      </c>
      <c r="D170" s="2479"/>
      <c r="E170" s="2221"/>
      <c r="F170" s="2400"/>
      <c r="G170" s="2444"/>
      <c r="H170" s="1504"/>
      <c r="I170" s="655" t="s">
        <v>1481</v>
      </c>
      <c r="J170" s="575"/>
      <c r="K170" s="1504"/>
      <c r="L170" s="218"/>
      <c r="M170" s="345"/>
      <c r="N170" s="338"/>
      <c r="O170" s="1628"/>
      <c r="P170" s="1628"/>
      <c r="AH170" s="1635">
        <v>0</v>
      </c>
    </row>
    <row s="1639" customFormat="1" customHeight="1" ht="0.75" hidden="1">
      <c r="A171" s="1783"/>
      <c r="B171" s="1783"/>
      <c r="C171" s="373" t="s">
        <v>1489</v>
      </c>
      <c r="D171" s="2479"/>
      <c r="E171" s="2221"/>
      <c r="F171" s="2400"/>
      <c r="G171" s="404"/>
      <c r="H171" s="1504"/>
      <c r="I171" s="655"/>
      <c r="J171" s="575"/>
      <c r="K171" s="1504"/>
      <c r="L171" s="218"/>
      <c r="M171" s="345"/>
      <c r="N171" s="338"/>
      <c r="O171" s="1628"/>
      <c r="P171" s="1628"/>
      <c r="AH171" s="1635">
        <v>0</v>
      </c>
    </row>
    <row s="1639" customFormat="1" customHeight="1" ht="18.75" hidden="1">
      <c r="A172" s="1783" t="s">
        <v>343</v>
      </c>
      <c r="B172" s="1783" t="s">
        <v>344</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444</v>
      </c>
      <c r="M172" s="345"/>
      <c r="N172" s="338"/>
      <c r="O172" s="1628"/>
      <c r="P172" s="1628"/>
      <c r="AH172" s="1635">
        <v>0</v>
      </c>
    </row>
    <row s="1639" customFormat="1" customHeight="1" ht="18.75" hidden="1">
      <c r="A173" s="1783"/>
      <c r="B173" s="1783"/>
      <c r="C173" s="373" t="s">
        <v>1482</v>
      </c>
      <c r="D173" s="2479"/>
      <c r="E173" s="2221"/>
      <c r="F173" s="2400"/>
      <c r="G173" s="2444"/>
      <c r="H173" s="1504"/>
      <c r="I173" s="655" t="s">
        <v>1481</v>
      </c>
      <c r="J173" s="575"/>
      <c r="K173" s="1504"/>
      <c r="L173" s="218"/>
      <c r="M173" s="345"/>
      <c r="N173" s="338"/>
      <c r="O173" s="1628"/>
      <c r="P173" s="1628"/>
      <c r="AH173" s="1635">
        <v>0</v>
      </c>
    </row>
    <row s="1639" customFormat="1" customHeight="1" ht="0.75" hidden="1">
      <c r="A174" s="1783"/>
      <c r="B174" s="1783"/>
      <c r="C174" s="373" t="s">
        <v>1489</v>
      </c>
      <c r="D174" s="2479"/>
      <c r="E174" s="2221"/>
      <c r="F174" s="2400"/>
      <c r="G174" s="404"/>
      <c r="H174" s="1504"/>
      <c r="I174" s="655"/>
      <c r="J174" s="575"/>
      <c r="K174" s="1504"/>
      <c r="L174" s="218"/>
      <c r="M174" s="345"/>
      <c r="N174" s="338"/>
      <c r="O174" s="1628"/>
      <c r="P174" s="1628"/>
      <c r="AH174" s="1635">
        <v>0</v>
      </c>
    </row>
    <row s="1639" customFormat="1" customHeight="1" ht="18.75" hidden="1">
      <c r="A175" s="1783" t="s">
        <v>363</v>
      </c>
      <c r="B175" s="1783" t="s">
        <v>364</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444</v>
      </c>
      <c r="M175" s="345"/>
      <c r="N175" s="338"/>
      <c r="O175" s="1628"/>
      <c r="P175" s="1628"/>
      <c r="AH175" s="1635">
        <v>0</v>
      </c>
    </row>
    <row s="1639" customFormat="1" customHeight="1" ht="18.75" hidden="1">
      <c r="A176" s="1783"/>
      <c r="B176" s="1783"/>
      <c r="C176" s="373" t="s">
        <v>1482</v>
      </c>
      <c r="D176" s="2479"/>
      <c r="E176" s="2221"/>
      <c r="F176" s="2400"/>
      <c r="G176" s="2444"/>
      <c r="H176" s="1504"/>
      <c r="I176" s="655" t="s">
        <v>1481</v>
      </c>
      <c r="J176" s="575"/>
      <c r="K176" s="1504"/>
      <c r="L176" s="218"/>
      <c r="M176" s="345"/>
      <c r="N176" s="338"/>
      <c r="O176" s="1628"/>
      <c r="P176" s="1628"/>
      <c r="AH176" s="1635">
        <v>0</v>
      </c>
    </row>
    <row s="1639" customFormat="1" customHeight="1" ht="0.75" hidden="1">
      <c r="A177" s="1783"/>
      <c r="B177" s="1783"/>
      <c r="C177" s="373" t="s">
        <v>1489</v>
      </c>
      <c r="D177" s="2479"/>
      <c r="E177" s="2221"/>
      <c r="F177" s="2400"/>
      <c r="G177" s="404"/>
      <c r="H177" s="1504"/>
      <c r="I177" s="655"/>
      <c r="J177" s="575"/>
      <c r="K177" s="1504"/>
      <c r="L177" s="218"/>
      <c r="M177" s="345"/>
      <c r="N177" s="338"/>
      <c r="O177" s="1628"/>
      <c r="P177" s="1628"/>
      <c r="AH177" s="1635">
        <v>0</v>
      </c>
    </row>
    <row s="1639" customFormat="1" customHeight="1" ht="18.75" hidden="1">
      <c r="A178" s="1783" t="s">
        <v>368</v>
      </c>
      <c r="B178" s="1783" t="s">
        <v>369</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444</v>
      </c>
      <c r="M178" s="345"/>
      <c r="N178" s="338"/>
      <c r="O178" s="1628"/>
      <c r="P178" s="1628"/>
      <c r="AH178" s="1635">
        <v>0</v>
      </c>
    </row>
    <row s="1639" customFormat="1" customHeight="1" ht="18.75" hidden="1">
      <c r="A179" s="1783"/>
      <c r="B179" s="1783"/>
      <c r="C179" s="373" t="s">
        <v>1482</v>
      </c>
      <c r="D179" s="2479"/>
      <c r="E179" s="2221"/>
      <c r="F179" s="2400"/>
      <c r="G179" s="2444"/>
      <c r="H179" s="1504"/>
      <c r="I179" s="655" t="s">
        <v>1481</v>
      </c>
      <c r="J179" s="575"/>
      <c r="K179" s="1504"/>
      <c r="L179" s="218"/>
      <c r="M179" s="345"/>
      <c r="N179" s="338"/>
      <c r="O179" s="1628"/>
      <c r="P179" s="1628"/>
      <c r="AH179" s="1635">
        <v>0</v>
      </c>
    </row>
    <row s="1639" customFormat="1" customHeight="1" ht="0.75" hidden="1">
      <c r="A180" s="1783"/>
      <c r="B180" s="1783"/>
      <c r="C180" s="373" t="s">
        <v>1489</v>
      </c>
      <c r="D180" s="2479"/>
      <c r="E180" s="2221"/>
      <c r="F180" s="2400"/>
      <c r="G180" s="404"/>
      <c r="H180" s="1504"/>
      <c r="I180" s="655"/>
      <c r="J180" s="575"/>
      <c r="K180" s="1504"/>
      <c r="L180" s="218"/>
      <c r="M180" s="345"/>
      <c r="N180" s="338"/>
      <c r="O180" s="1628"/>
      <c r="P180" s="1628"/>
      <c r="AH180" s="1635">
        <v>0</v>
      </c>
    </row>
    <row s="1639" customFormat="1" customHeight="1" ht="18.75" hidden="1">
      <c r="A181" s="1783" t="s">
        <v>373</v>
      </c>
      <c r="B181" s="1783" t="s">
        <v>374</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444</v>
      </c>
      <c r="M181" s="345"/>
      <c r="N181" s="338"/>
      <c r="O181" s="1628"/>
      <c r="P181" s="1628"/>
      <c r="AH181" s="1635">
        <v>0</v>
      </c>
    </row>
    <row s="1639" customFormat="1" customHeight="1" ht="18.75" hidden="1">
      <c r="A182" s="1783"/>
      <c r="B182" s="1783"/>
      <c r="C182" s="373" t="s">
        <v>1482</v>
      </c>
      <c r="D182" s="2479"/>
      <c r="E182" s="2221"/>
      <c r="F182" s="2400"/>
      <c r="G182" s="2444"/>
      <c r="H182" s="1504"/>
      <c r="I182" s="655" t="s">
        <v>1481</v>
      </c>
      <c r="J182" s="575"/>
      <c r="K182" s="1504"/>
      <c r="L182" s="218"/>
      <c r="M182" s="345"/>
      <c r="N182" s="338"/>
      <c r="O182" s="1628"/>
      <c r="P182" s="1628"/>
      <c r="AH182" s="1635">
        <v>0</v>
      </c>
    </row>
    <row s="1639" customFormat="1" customHeight="1" ht="0.75" hidden="1">
      <c r="A183" s="1783"/>
      <c r="B183" s="1783"/>
      <c r="C183" s="373" t="s">
        <v>1489</v>
      </c>
      <c r="D183" s="2479"/>
      <c r="E183" s="2221"/>
      <c r="F183" s="2400"/>
      <c r="G183" s="404"/>
      <c r="H183" s="1504"/>
      <c r="I183" s="655"/>
      <c r="J183" s="575"/>
      <c r="K183" s="1504"/>
      <c r="L183" s="218"/>
      <c r="M183" s="345"/>
      <c r="N183" s="338"/>
      <c r="O183" s="1628"/>
      <c r="P183" s="1628"/>
      <c r="AH183" s="1635">
        <v>0</v>
      </c>
    </row>
    <row s="1639" customFormat="1" customHeight="1" ht="18.75" hidden="1">
      <c r="A184" s="1783" t="s">
        <v>378</v>
      </c>
      <c r="B184" s="1783" t="s">
        <v>379</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444</v>
      </c>
      <c r="M184" s="345"/>
      <c r="N184" s="338"/>
      <c r="O184" s="1628"/>
      <c r="P184" s="1628"/>
      <c r="AH184" s="1635">
        <v>0</v>
      </c>
    </row>
    <row s="1639" customFormat="1" customHeight="1" ht="18.75" hidden="1">
      <c r="A185" s="1783"/>
      <c r="B185" s="1783"/>
      <c r="C185" s="373" t="s">
        <v>1482</v>
      </c>
      <c r="D185" s="2479"/>
      <c r="E185" s="2221"/>
      <c r="F185" s="2400"/>
      <c r="G185" s="2444"/>
      <c r="H185" s="1504"/>
      <c r="I185" s="655" t="s">
        <v>1481</v>
      </c>
      <c r="J185" s="575"/>
      <c r="K185" s="1504"/>
      <c r="L185" s="218"/>
      <c r="M185" s="345"/>
      <c r="N185" s="338"/>
      <c r="O185" s="1628"/>
      <c r="P185" s="1628"/>
      <c r="AH185" s="1635">
        <v>0</v>
      </c>
    </row>
    <row s="1639" customFormat="1" customHeight="1" ht="0.75" hidden="1">
      <c r="A186" s="1783"/>
      <c r="B186" s="1783"/>
      <c r="C186" s="373" t="s">
        <v>1489</v>
      </c>
      <c r="D186" s="2479"/>
      <c r="E186" s="2221"/>
      <c r="F186" s="2400"/>
      <c r="G186" s="404"/>
      <c r="H186" s="1504"/>
      <c r="I186" s="655"/>
      <c r="J186" s="575"/>
      <c r="K186" s="1504"/>
      <c r="L186" s="218"/>
      <c r="M186" s="345"/>
      <c r="N186" s="338"/>
      <c r="O186" s="1628"/>
      <c r="P186" s="1628"/>
      <c r="AH186" s="1635">
        <v>0</v>
      </c>
    </row>
    <row s="1639" customFormat="1" customHeight="1" ht="18.75" hidden="1">
      <c r="A187" s="1783" t="s">
        <v>383</v>
      </c>
      <c r="B187" s="1783" t="s">
        <v>384</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444</v>
      </c>
      <c r="M187" s="345"/>
      <c r="N187" s="338"/>
      <c r="O187" s="1628"/>
      <c r="P187" s="1628"/>
      <c r="AH187" s="1635">
        <v>0</v>
      </c>
    </row>
    <row s="1639" customFormat="1" customHeight="1" ht="18.75" hidden="1">
      <c r="A188" s="1783"/>
      <c r="B188" s="1783"/>
      <c r="C188" s="373" t="s">
        <v>1482</v>
      </c>
      <c r="D188" s="2479"/>
      <c r="E188" s="2221"/>
      <c r="F188" s="2400"/>
      <c r="G188" s="2444"/>
      <c r="H188" s="1504"/>
      <c r="I188" s="655" t="s">
        <v>1481</v>
      </c>
      <c r="J188" s="575"/>
      <c r="K188" s="1504"/>
      <c r="L188" s="218"/>
      <c r="M188" s="345"/>
      <c r="N188" s="338"/>
      <c r="O188" s="1628"/>
      <c r="P188" s="1628"/>
      <c r="AH188" s="1635">
        <v>0</v>
      </c>
    </row>
    <row s="1639" customFormat="1" customHeight="1" ht="0.75" hidden="1">
      <c r="A189" s="1783"/>
      <c r="B189" s="1783"/>
      <c r="C189" s="373" t="s">
        <v>1489</v>
      </c>
      <c r="D189" s="2479"/>
      <c r="E189" s="2221"/>
      <c r="F189" s="2400"/>
      <c r="G189" s="404"/>
      <c r="H189" s="1504"/>
      <c r="I189" s="655"/>
      <c r="J189" s="575"/>
      <c r="K189" s="1504"/>
      <c r="L189" s="218"/>
      <c r="M189" s="345"/>
      <c r="N189" s="338"/>
      <c r="O189" s="1628"/>
      <c r="P189" s="1628"/>
      <c r="AH189" s="1635">
        <v>0</v>
      </c>
    </row>
    <row s="1639" customFormat="1" customHeight="1" ht="18.75" hidden="1">
      <c r="A190" s="1783" t="s">
        <v>388</v>
      </c>
      <c r="B190" s="1783" t="s">
        <v>389</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444</v>
      </c>
      <c r="M190" s="345"/>
      <c r="N190" s="338"/>
      <c r="O190" s="1628"/>
      <c r="P190" s="1628"/>
      <c r="AH190" s="1635">
        <v>0</v>
      </c>
    </row>
    <row s="1639" customFormat="1" customHeight="1" ht="18.75" hidden="1">
      <c r="A191" s="1783"/>
      <c r="B191" s="1783"/>
      <c r="C191" s="373" t="s">
        <v>1482</v>
      </c>
      <c r="D191" s="2479"/>
      <c r="E191" s="2221"/>
      <c r="F191" s="2400"/>
      <c r="G191" s="2444"/>
      <c r="H191" s="1504"/>
      <c r="I191" s="655" t="s">
        <v>1481</v>
      </c>
      <c r="J191" s="575"/>
      <c r="K191" s="1504"/>
      <c r="L191" s="218"/>
      <c r="M191" s="345"/>
      <c r="N191" s="338"/>
      <c r="O191" s="1628"/>
      <c r="P191" s="1628"/>
      <c r="AH191" s="1635">
        <v>0</v>
      </c>
    </row>
    <row s="1639" customFormat="1" customHeight="1" ht="0.75" hidden="1">
      <c r="A192" s="1783"/>
      <c r="B192" s="1783"/>
      <c r="C192" s="373" t="s">
        <v>1489</v>
      </c>
      <c r="D192" s="2479"/>
      <c r="E192" s="2221"/>
      <c r="F192" s="2400"/>
      <c r="G192" s="404"/>
      <c r="H192" s="1504"/>
      <c r="I192" s="655"/>
      <c r="J192" s="575"/>
      <c r="K192" s="1504"/>
      <c r="L192" s="218"/>
      <c r="M192" s="345"/>
      <c r="N192" s="338"/>
      <c r="O192" s="1628"/>
      <c r="P192" s="1628"/>
      <c r="AH192" s="1635">
        <v>0</v>
      </c>
    </row>
    <row s="1639" customFormat="1" customHeight="1" ht="18.75" hidden="1">
      <c r="A193" s="1783" t="s">
        <v>393</v>
      </c>
      <c r="B193" s="1783" t="s">
        <v>394</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444</v>
      </c>
      <c r="M193" s="345"/>
      <c r="N193" s="338"/>
      <c r="O193" s="1628"/>
      <c r="P193" s="1628"/>
      <c r="AH193" s="1635">
        <v>0</v>
      </c>
    </row>
    <row s="1639" customFormat="1" customHeight="1" ht="18.75" hidden="1">
      <c r="A194" s="1783"/>
      <c r="B194" s="1783"/>
      <c r="C194" s="373" t="s">
        <v>1482</v>
      </c>
      <c r="D194" s="2479"/>
      <c r="E194" s="2221"/>
      <c r="F194" s="2400"/>
      <c r="G194" s="2444"/>
      <c r="H194" s="1504"/>
      <c r="I194" s="655" t="s">
        <v>1481</v>
      </c>
      <c r="J194" s="575"/>
      <c r="K194" s="1504"/>
      <c r="L194" s="218"/>
      <c r="M194" s="345"/>
      <c r="N194" s="338"/>
      <c r="O194" s="1628"/>
      <c r="P194" s="1628"/>
      <c r="AH194" s="1635">
        <v>0</v>
      </c>
    </row>
    <row s="1639" customFormat="1" customHeight="1" ht="0.75" hidden="1">
      <c r="A195" s="1783"/>
      <c r="B195" s="1783"/>
      <c r="C195" s="373" t="s">
        <v>1489</v>
      </c>
      <c r="D195" s="2479"/>
      <c r="E195" s="2221"/>
      <c r="F195" s="2400"/>
      <c r="G195" s="404"/>
      <c r="H195" s="1504"/>
      <c r="I195" s="655"/>
      <c r="J195" s="575"/>
      <c r="K195" s="1504"/>
      <c r="L195" s="218"/>
      <c r="M195" s="345"/>
      <c r="N195" s="338"/>
      <c r="O195" s="1628"/>
      <c r="P195" s="1628"/>
      <c r="AH195" s="1635">
        <v>0</v>
      </c>
    </row>
    <row s="1639" customFormat="1" customHeight="1" ht="18.75" hidden="1">
      <c r="A196" s="1783" t="s">
        <v>398</v>
      </c>
      <c r="B196" s="1783" t="s">
        <v>399</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444</v>
      </c>
      <c r="M196" s="345"/>
      <c r="N196" s="338"/>
      <c r="O196" s="1628"/>
      <c r="P196" s="1628"/>
      <c r="AH196" s="1635">
        <v>0</v>
      </c>
    </row>
    <row s="1639" customFormat="1" customHeight="1" ht="18.75" hidden="1">
      <c r="A197" s="1783"/>
      <c r="B197" s="1783"/>
      <c r="C197" s="373" t="s">
        <v>1482</v>
      </c>
      <c r="D197" s="2479"/>
      <c r="E197" s="2221"/>
      <c r="F197" s="2400"/>
      <c r="G197" s="2444"/>
      <c r="H197" s="1504"/>
      <c r="I197" s="655" t="s">
        <v>1481</v>
      </c>
      <c r="J197" s="575"/>
      <c r="K197" s="1504"/>
      <c r="L197" s="218"/>
      <c r="M197" s="345"/>
      <c r="N197" s="338"/>
      <c r="O197" s="1628"/>
      <c r="P197" s="1628"/>
      <c r="AH197" s="1635">
        <v>0</v>
      </c>
    </row>
    <row s="1639" customFormat="1" customHeight="1" ht="0.75" hidden="1">
      <c r="A198" s="1783"/>
      <c r="B198" s="1783"/>
      <c r="C198" s="373" t="s">
        <v>1489</v>
      </c>
      <c r="D198" s="2479"/>
      <c r="E198" s="2221"/>
      <c r="F198" s="2400"/>
      <c r="G198" s="404"/>
      <c r="H198" s="1504"/>
      <c r="I198" s="655"/>
      <c r="J198" s="575"/>
      <c r="K198" s="1504"/>
      <c r="L198" s="218"/>
      <c r="M198" s="345"/>
      <c r="N198" s="338"/>
      <c r="O198" s="1628"/>
      <c r="P198" s="1628"/>
      <c r="AH198" s="1635">
        <v>0</v>
      </c>
    </row>
    <row s="1639" customFormat="1" customHeight="1" ht="18.75" hidden="1">
      <c r="A199" s="1783" t="s">
        <v>403</v>
      </c>
      <c r="B199" s="1783" t="s">
        <v>404</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444</v>
      </c>
      <c r="M199" s="345"/>
      <c r="N199" s="338"/>
      <c r="O199" s="1628"/>
      <c r="P199" s="1628"/>
      <c r="AH199" s="1635">
        <v>0</v>
      </c>
    </row>
    <row s="1639" customFormat="1" customHeight="1" ht="18.75" hidden="1">
      <c r="A200" s="1783"/>
      <c r="B200" s="1783"/>
      <c r="C200" s="373" t="s">
        <v>1482</v>
      </c>
      <c r="D200" s="2479"/>
      <c r="E200" s="2221"/>
      <c r="F200" s="2400"/>
      <c r="G200" s="2444"/>
      <c r="H200" s="1504"/>
      <c r="I200" s="655" t="s">
        <v>1481</v>
      </c>
      <c r="J200" s="575"/>
      <c r="K200" s="1504"/>
      <c r="L200" s="218"/>
      <c r="M200" s="345"/>
      <c r="N200" s="338"/>
      <c r="O200" s="1628"/>
      <c r="P200" s="1628"/>
      <c r="AH200" s="1635">
        <v>0</v>
      </c>
    </row>
    <row s="1639" customFormat="1" customHeight="1" ht="0.75" hidden="1">
      <c r="A201" s="1783"/>
      <c r="B201" s="1783"/>
      <c r="C201" s="373" t="s">
        <v>1489</v>
      </c>
      <c r="D201" s="2479"/>
      <c r="E201" s="2221"/>
      <c r="F201" s="2400"/>
      <c r="G201" s="404"/>
      <c r="H201" s="1504"/>
      <c r="I201" s="655"/>
      <c r="J201" s="575"/>
      <c r="K201" s="1504"/>
      <c r="L201" s="218"/>
      <c r="M201" s="345"/>
      <c r="N201" s="338"/>
      <c r="O201" s="1628"/>
      <c r="P201" s="1628"/>
      <c r="AH201" s="1635">
        <v>0</v>
      </c>
    </row>
    <row s="1639" customFormat="1" customHeight="1" ht="18.75" hidden="1">
      <c r="A202" s="1783" t="s">
        <v>408</v>
      </c>
      <c r="B202" s="1783" t="s">
        <v>409</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444</v>
      </c>
      <c r="M202" s="345"/>
      <c r="N202" s="338"/>
      <c r="O202" s="1628"/>
      <c r="P202" s="1628"/>
      <c r="AH202" s="1635">
        <v>0</v>
      </c>
    </row>
    <row s="1639" customFormat="1" customHeight="1" ht="18.75" hidden="1">
      <c r="A203" s="1783"/>
      <c r="B203" s="1783"/>
      <c r="C203" s="373" t="s">
        <v>1482</v>
      </c>
      <c r="D203" s="2479"/>
      <c r="E203" s="2221"/>
      <c r="F203" s="2400"/>
      <c r="G203" s="2444"/>
      <c r="H203" s="1504"/>
      <c r="I203" s="655" t="s">
        <v>1481</v>
      </c>
      <c r="J203" s="575"/>
      <c r="K203" s="1504"/>
      <c r="L203" s="218"/>
      <c r="M203" s="345"/>
      <c r="N203" s="338"/>
      <c r="O203" s="1628"/>
      <c r="P203" s="1628"/>
      <c r="AH203" s="1635">
        <v>0</v>
      </c>
    </row>
    <row s="1639" customFormat="1" customHeight="1" ht="0.75" hidden="1">
      <c r="A204" s="1783"/>
      <c r="B204" s="1783"/>
      <c r="C204" s="373" t="s">
        <v>1489</v>
      </c>
      <c r="D204" s="2479"/>
      <c r="E204" s="2221"/>
      <c r="F204" s="2400"/>
      <c r="G204" s="404"/>
      <c r="H204" s="1504"/>
      <c r="I204" s="655"/>
      <c r="J204" s="575"/>
      <c r="K204" s="1504"/>
      <c r="L204" s="218"/>
      <c r="M204" s="345"/>
      <c r="N204" s="338"/>
      <c r="O204" s="1628"/>
      <c r="P204" s="1628"/>
      <c r="AH204" s="1635">
        <v>0</v>
      </c>
    </row>
    <row s="1639" customFormat="1" customHeight="1" ht="18.75" hidden="1">
      <c r="A205" s="1783" t="s">
        <v>413</v>
      </c>
      <c r="B205" s="1783" t="s">
        <v>414</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444</v>
      </c>
      <c r="M205" s="345"/>
      <c r="N205" s="338"/>
      <c r="O205" s="1628"/>
      <c r="P205" s="1628"/>
      <c r="AH205" s="1635">
        <v>0</v>
      </c>
    </row>
    <row s="1639" customFormat="1" customHeight="1" ht="18.75" hidden="1">
      <c r="A206" s="1783"/>
      <c r="B206" s="1783"/>
      <c r="C206" s="373" t="s">
        <v>1482</v>
      </c>
      <c r="D206" s="2479"/>
      <c r="E206" s="2221"/>
      <c r="F206" s="2400"/>
      <c r="G206" s="2444"/>
      <c r="H206" s="1504"/>
      <c r="I206" s="655" t="s">
        <v>1481</v>
      </c>
      <c r="J206" s="575"/>
      <c r="K206" s="1504"/>
      <c r="L206" s="218"/>
      <c r="M206" s="345"/>
      <c r="N206" s="338"/>
      <c r="O206" s="1628"/>
      <c r="P206" s="1628"/>
      <c r="AH206" s="1635">
        <v>0</v>
      </c>
    </row>
    <row s="1639" customFormat="1" customHeight="1" ht="1.05">
      <c r="A207" s="1783"/>
      <c r="B207" s="1783"/>
      <c r="C207" s="373" t="s">
        <v>1489</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120</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295</v>
      </c>
      <c r="B209" s="1783" t="s">
        <v>296</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444</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1482</v>
      </c>
      <c r="D210" s="2479"/>
      <c r="E210" s="2221"/>
      <c r="F210" s="2400"/>
      <c r="G210" s="2444"/>
      <c r="H210" s="1504"/>
      <c r="I210" s="655" t="s">
        <v>1481</v>
      </c>
      <c r="J210" s="575"/>
      <c r="K210" s="1504"/>
      <c r="L210" s="218"/>
      <c r="M210" s="2187"/>
      <c r="N210" s="338"/>
      <c r="O210" s="1628"/>
      <c r="P210" s="1628"/>
      <c r="AH210" s="1635">
        <v>0</v>
      </c>
    </row>
    <row s="1639" customFormat="1" customHeight="1" ht="0.75" hidden="1">
      <c r="A211" s="1783"/>
      <c r="B211" s="1783"/>
      <c r="C211" s="373" t="s">
        <v>1489</v>
      </c>
      <c r="D211" s="2479"/>
      <c r="E211" s="2221"/>
      <c r="F211" s="2400"/>
      <c r="G211" s="404"/>
      <c r="H211" s="1504"/>
      <c r="I211" s="655"/>
      <c r="J211" s="575"/>
      <c r="K211" s="1504"/>
      <c r="L211" s="218"/>
      <c r="M211" s="2187"/>
      <c r="N211" s="338"/>
      <c r="O211" s="1628"/>
      <c r="P211" s="1628"/>
      <c r="AH211" s="1635">
        <v>0</v>
      </c>
    </row>
    <row s="1639" customFormat="1" customHeight="1" ht="45" hidden="1">
      <c r="A212" s="1783" t="s">
        <v>300</v>
      </c>
      <c r="B212" s="1783" t="s">
        <v>301</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444</v>
      </c>
      <c r="M212" s="2188"/>
      <c r="N212" s="338"/>
      <c r="O212" s="1628"/>
      <c r="P212" s="1628"/>
      <c r="AH212" s="1635">
        <v>0</v>
      </c>
    </row>
    <row s="1639" customFormat="1" customHeight="1" ht="18.75" hidden="1">
      <c r="A213" s="1783"/>
      <c r="B213" s="1783"/>
      <c r="C213" s="373" t="s">
        <v>1482</v>
      </c>
      <c r="D213" s="2479"/>
      <c r="E213" s="2221"/>
      <c r="F213" s="2400"/>
      <c r="G213" s="2444"/>
      <c r="H213" s="1504"/>
      <c r="I213" s="655" t="s">
        <v>1481</v>
      </c>
      <c r="J213" s="575"/>
      <c r="K213" s="1504"/>
      <c r="L213" s="218"/>
      <c r="M213" s="1862"/>
      <c r="N213" s="338"/>
      <c r="O213" s="1628"/>
      <c r="P213" s="1628"/>
      <c r="AH213" s="1635">
        <v>0</v>
      </c>
    </row>
    <row s="1639" customFormat="1" customHeight="1" ht="0.75" hidden="1">
      <c r="A214" s="1783"/>
      <c r="B214" s="1783"/>
      <c r="C214" s="373" t="s">
        <v>1489</v>
      </c>
      <c r="D214" s="2479"/>
      <c r="E214" s="2221"/>
      <c r="F214" s="2400"/>
      <c r="G214" s="404"/>
      <c r="H214" s="1504"/>
      <c r="I214" s="655"/>
      <c r="J214" s="575"/>
      <c r="K214" s="1504"/>
      <c r="L214" s="218"/>
      <c r="M214" s="345"/>
      <c r="N214" s="338"/>
      <c r="O214" s="1628"/>
      <c r="P214" s="1628"/>
      <c r="AH214" s="1635">
        <v>0</v>
      </c>
    </row>
    <row s="1639" customFormat="1" customHeight="1" ht="45" hidden="1">
      <c r="A215" s="1783" t="s">
        <v>307</v>
      </c>
      <c r="B215" s="1783" t="s">
        <v>308</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444</v>
      </c>
      <c r="M215" s="345"/>
      <c r="N215" s="338"/>
      <c r="O215" s="1628"/>
      <c r="P215" s="1628"/>
      <c r="AH215" s="1635">
        <v>0</v>
      </c>
    </row>
    <row s="1639" customFormat="1" customHeight="1" ht="18.75" hidden="1">
      <c r="A216" s="1783"/>
      <c r="B216" s="1783"/>
      <c r="C216" s="373" t="s">
        <v>1482</v>
      </c>
      <c r="D216" s="2479"/>
      <c r="E216" s="2221"/>
      <c r="F216" s="2400"/>
      <c r="G216" s="2444"/>
      <c r="H216" s="1504"/>
      <c r="I216" s="655" t="s">
        <v>1481</v>
      </c>
      <c r="J216" s="575"/>
      <c r="K216" s="1504"/>
      <c r="L216" s="218"/>
      <c r="M216" s="345"/>
      <c r="N216" s="338"/>
      <c r="O216" s="1628"/>
      <c r="P216" s="1628"/>
      <c r="AH216" s="1635">
        <v>0</v>
      </c>
    </row>
    <row s="1639" customFormat="1" customHeight="1" ht="0.75" hidden="1">
      <c r="A217" s="1783"/>
      <c r="B217" s="1783"/>
      <c r="C217" s="373" t="s">
        <v>1489</v>
      </c>
      <c r="D217" s="2479"/>
      <c r="E217" s="2221"/>
      <c r="F217" s="2400"/>
      <c r="G217" s="404"/>
      <c r="H217" s="1504"/>
      <c r="I217" s="655"/>
      <c r="J217" s="575"/>
      <c r="K217" s="1504"/>
      <c r="L217" s="218"/>
      <c r="M217" s="345"/>
      <c r="N217" s="338"/>
      <c r="O217" s="1628"/>
      <c r="P217" s="1628"/>
      <c r="AH217" s="1635">
        <v>0</v>
      </c>
    </row>
    <row s="1639" customFormat="1" customHeight="1" ht="45" hidden="1">
      <c r="A218" s="1783" t="s">
        <v>313</v>
      </c>
      <c r="B218" s="1783" t="s">
        <v>314</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444</v>
      </c>
      <c r="M218" s="345"/>
      <c r="N218" s="338"/>
      <c r="O218" s="1628"/>
      <c r="P218" s="1628"/>
      <c r="AH218" s="1635">
        <v>0</v>
      </c>
    </row>
    <row s="1639" customFormat="1" customHeight="1" ht="18.75" hidden="1">
      <c r="A219" s="1783"/>
      <c r="B219" s="1783"/>
      <c r="C219" s="373" t="s">
        <v>1482</v>
      </c>
      <c r="D219" s="2479"/>
      <c r="E219" s="2221"/>
      <c r="F219" s="2400"/>
      <c r="G219" s="2444"/>
      <c r="H219" s="1504"/>
      <c r="I219" s="655" t="s">
        <v>1481</v>
      </c>
      <c r="J219" s="575"/>
      <c r="K219" s="1504"/>
      <c r="L219" s="218"/>
      <c r="M219" s="345"/>
      <c r="N219" s="338"/>
      <c r="O219" s="1628"/>
      <c r="P219" s="1628"/>
      <c r="AH219" s="1635">
        <v>0</v>
      </c>
    </row>
    <row s="1639" customFormat="1" customHeight="1" ht="0.75" hidden="1">
      <c r="A220" s="1783"/>
      <c r="B220" s="1783"/>
      <c r="C220" s="373" t="s">
        <v>1489</v>
      </c>
      <c r="D220" s="2479"/>
      <c r="E220" s="2221"/>
      <c r="F220" s="2400"/>
      <c r="G220" s="404"/>
      <c r="H220" s="1504"/>
      <c r="I220" s="655"/>
      <c r="J220" s="575"/>
      <c r="K220" s="1504"/>
      <c r="L220" s="218"/>
      <c r="M220" s="345"/>
      <c r="N220" s="338"/>
      <c r="O220" s="1628"/>
      <c r="P220" s="1628"/>
      <c r="AH220" s="1635">
        <v>0</v>
      </c>
    </row>
    <row s="1639" customFormat="1" customHeight="1" ht="18.75" hidden="1">
      <c r="A221" s="1783" t="s">
        <v>319</v>
      </c>
      <c r="B221" s="1783" t="s">
        <v>320</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444</v>
      </c>
      <c r="M221" s="345"/>
      <c r="N221" s="338"/>
      <c r="O221" s="1628"/>
      <c r="P221" s="1628"/>
      <c r="AH221" s="1635">
        <v>0</v>
      </c>
    </row>
    <row s="1639" customFormat="1" customHeight="1" ht="18.75" hidden="1">
      <c r="A222" s="1783"/>
      <c r="B222" s="1783"/>
      <c r="C222" s="373" t="s">
        <v>1482</v>
      </c>
      <c r="D222" s="2479"/>
      <c r="E222" s="2221"/>
      <c r="F222" s="2400"/>
      <c r="G222" s="2444"/>
      <c r="H222" s="1504"/>
      <c r="I222" s="655" t="s">
        <v>1481</v>
      </c>
      <c r="J222" s="575"/>
      <c r="K222" s="1504"/>
      <c r="L222" s="218"/>
      <c r="M222" s="345"/>
      <c r="N222" s="338"/>
      <c r="O222" s="1628"/>
      <c r="P222" s="1628"/>
      <c r="AH222" s="1635">
        <v>0</v>
      </c>
    </row>
    <row s="1639" customFormat="1" customHeight="1" ht="0.75" hidden="1">
      <c r="A223" s="1783"/>
      <c r="B223" s="1783"/>
      <c r="C223" s="373" t="s">
        <v>1489</v>
      </c>
      <c r="D223" s="2479"/>
      <c r="E223" s="2221"/>
      <c r="F223" s="2400"/>
      <c r="G223" s="404"/>
      <c r="H223" s="1504"/>
      <c r="I223" s="655"/>
      <c r="J223" s="575"/>
      <c r="K223" s="1504"/>
      <c r="L223" s="218"/>
      <c r="M223" s="345"/>
      <c r="N223" s="338"/>
      <c r="O223" s="1628"/>
      <c r="P223" s="1628"/>
      <c r="AH223" s="1635">
        <v>0</v>
      </c>
    </row>
    <row s="1639" customFormat="1" customHeight="1" ht="18.75" hidden="1">
      <c r="A224" s="1783" t="s">
        <v>325</v>
      </c>
      <c r="B224" s="1783" t="s">
        <v>326</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444</v>
      </c>
      <c r="M224" s="345"/>
      <c r="N224" s="338"/>
      <c r="O224" s="1628"/>
      <c r="P224" s="1628"/>
      <c r="AH224" s="1635">
        <v>0</v>
      </c>
    </row>
    <row s="1639" customFormat="1" customHeight="1" ht="18.75" hidden="1">
      <c r="A225" s="1783"/>
      <c r="B225" s="1783"/>
      <c r="C225" s="373" t="s">
        <v>1482</v>
      </c>
      <c r="D225" s="2479"/>
      <c r="E225" s="2221"/>
      <c r="F225" s="2400"/>
      <c r="G225" s="2444"/>
      <c r="H225" s="1504"/>
      <c r="I225" s="655" t="s">
        <v>1481</v>
      </c>
      <c r="J225" s="575"/>
      <c r="K225" s="1504"/>
      <c r="L225" s="218"/>
      <c r="M225" s="345"/>
      <c r="N225" s="338"/>
      <c r="O225" s="1628"/>
      <c r="P225" s="1628"/>
      <c r="AH225" s="1635">
        <v>0</v>
      </c>
    </row>
    <row s="1639" customFormat="1" customHeight="1" ht="0.75" hidden="1">
      <c r="A226" s="1783"/>
      <c r="B226" s="1783"/>
      <c r="C226" s="373" t="s">
        <v>1489</v>
      </c>
      <c r="D226" s="2479"/>
      <c r="E226" s="2221"/>
      <c r="F226" s="2400"/>
      <c r="G226" s="404"/>
      <c r="H226" s="1504"/>
      <c r="I226" s="655"/>
      <c r="J226" s="575"/>
      <c r="K226" s="1504"/>
      <c r="L226" s="218"/>
      <c r="M226" s="345"/>
      <c r="N226" s="338"/>
      <c r="O226" s="1628"/>
      <c r="P226" s="1628"/>
      <c r="AH226" s="1635">
        <v>0</v>
      </c>
    </row>
    <row s="1639" customFormat="1" customHeight="1" ht="18.75" hidden="1">
      <c r="A227" s="1783" t="s">
        <v>331</v>
      </c>
      <c r="B227" s="1783" t="s">
        <v>332</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444</v>
      </c>
      <c r="M227" s="345"/>
      <c r="N227" s="338"/>
      <c r="O227" s="1628"/>
      <c r="P227" s="1628"/>
      <c r="AH227" s="1635">
        <v>0</v>
      </c>
    </row>
    <row s="1639" customFormat="1" customHeight="1" ht="18.75" hidden="1">
      <c r="A228" s="1783"/>
      <c r="B228" s="1783"/>
      <c r="C228" s="373" t="s">
        <v>1482</v>
      </c>
      <c r="D228" s="2479"/>
      <c r="E228" s="2221"/>
      <c r="F228" s="2400"/>
      <c r="G228" s="2444"/>
      <c r="H228" s="1504"/>
      <c r="I228" s="655" t="s">
        <v>1481</v>
      </c>
      <c r="J228" s="575"/>
      <c r="K228" s="1504"/>
      <c r="L228" s="218"/>
      <c r="M228" s="345"/>
      <c r="N228" s="338"/>
      <c r="O228" s="1628"/>
      <c r="P228" s="1628"/>
      <c r="AH228" s="1635">
        <v>0</v>
      </c>
    </row>
    <row s="1639" customFormat="1" customHeight="1" ht="0.75" hidden="1">
      <c r="A229" s="1783"/>
      <c r="B229" s="1783"/>
      <c r="C229" s="373" t="s">
        <v>1489</v>
      </c>
      <c r="D229" s="2479"/>
      <c r="E229" s="2221"/>
      <c r="F229" s="2400"/>
      <c r="G229" s="404"/>
      <c r="H229" s="1504"/>
      <c r="I229" s="655"/>
      <c r="J229" s="575"/>
      <c r="K229" s="1504"/>
      <c r="L229" s="218"/>
      <c r="M229" s="345"/>
      <c r="N229" s="338"/>
      <c r="O229" s="1628"/>
      <c r="P229" s="1628"/>
      <c r="AH229" s="1635">
        <v>0</v>
      </c>
    </row>
    <row s="1639" customFormat="1" customHeight="1" ht="18.75" hidden="1">
      <c r="A230" s="1783" t="s">
        <v>337</v>
      </c>
      <c r="B230" s="1783" t="s">
        <v>338</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444</v>
      </c>
      <c r="M230" s="345"/>
      <c r="N230" s="338"/>
      <c r="O230" s="1628"/>
      <c r="P230" s="1628"/>
      <c r="AH230" s="1635">
        <v>0</v>
      </c>
    </row>
    <row s="1639" customFormat="1" customHeight="1" ht="18.75" hidden="1">
      <c r="A231" s="1783"/>
      <c r="B231" s="1783"/>
      <c r="C231" s="373" t="s">
        <v>1482</v>
      </c>
      <c r="D231" s="2479"/>
      <c r="E231" s="2221"/>
      <c r="F231" s="2400"/>
      <c r="G231" s="2444"/>
      <c r="H231" s="1504"/>
      <c r="I231" s="655" t="s">
        <v>1481</v>
      </c>
      <c r="J231" s="575"/>
      <c r="K231" s="1504"/>
      <c r="L231" s="218"/>
      <c r="M231" s="345"/>
      <c r="N231" s="338"/>
      <c r="O231" s="1628"/>
      <c r="P231" s="1628"/>
      <c r="AH231" s="1635">
        <v>0</v>
      </c>
    </row>
    <row s="1639" customFormat="1" customHeight="1" ht="0.75" hidden="1">
      <c r="A232" s="1783"/>
      <c r="B232" s="1783"/>
      <c r="C232" s="373" t="s">
        <v>1489</v>
      </c>
      <c r="D232" s="2479"/>
      <c r="E232" s="2221"/>
      <c r="F232" s="2400"/>
      <c r="G232" s="404"/>
      <c r="H232" s="1504"/>
      <c r="I232" s="655"/>
      <c r="J232" s="575"/>
      <c r="K232" s="1504"/>
      <c r="L232" s="218"/>
      <c r="M232" s="345"/>
      <c r="N232" s="338"/>
      <c r="O232" s="1628"/>
      <c r="P232" s="1628"/>
      <c r="AH232" s="1635">
        <v>0</v>
      </c>
    </row>
    <row s="1639" customFormat="1" customHeight="1" ht="18.75" hidden="1">
      <c r="A233" s="1783" t="s">
        <v>343</v>
      </c>
      <c r="B233" s="1783" t="s">
        <v>344</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444</v>
      </c>
      <c r="M233" s="345"/>
      <c r="N233" s="338"/>
      <c r="O233" s="1628"/>
      <c r="P233" s="1628"/>
      <c r="AH233" s="1635">
        <v>0</v>
      </c>
    </row>
    <row s="1639" customFormat="1" customHeight="1" ht="18.75" hidden="1">
      <c r="A234" s="1783"/>
      <c r="B234" s="1783"/>
      <c r="C234" s="373" t="s">
        <v>1482</v>
      </c>
      <c r="D234" s="2479"/>
      <c r="E234" s="2221"/>
      <c r="F234" s="2400"/>
      <c r="G234" s="2444"/>
      <c r="H234" s="1504"/>
      <c r="I234" s="655" t="s">
        <v>1481</v>
      </c>
      <c r="J234" s="575"/>
      <c r="K234" s="1504"/>
      <c r="L234" s="218"/>
      <c r="M234" s="345"/>
      <c r="N234" s="338"/>
      <c r="O234" s="1628"/>
      <c r="P234" s="1628"/>
      <c r="AH234" s="1635">
        <v>0</v>
      </c>
    </row>
    <row s="1639" customFormat="1" customHeight="1" ht="0.75" hidden="1">
      <c r="A235" s="1783"/>
      <c r="B235" s="1783"/>
      <c r="C235" s="373" t="s">
        <v>1489</v>
      </c>
      <c r="D235" s="2479"/>
      <c r="E235" s="2221"/>
      <c r="F235" s="2400"/>
      <c r="G235" s="404"/>
      <c r="H235" s="1504"/>
      <c r="I235" s="655"/>
      <c r="J235" s="575"/>
      <c r="K235" s="1504"/>
      <c r="L235" s="218"/>
      <c r="M235" s="345"/>
      <c r="N235" s="338"/>
      <c r="O235" s="1628"/>
      <c r="P235" s="1628"/>
      <c r="AH235" s="1635">
        <v>0</v>
      </c>
    </row>
    <row s="1639" customFormat="1" customHeight="1" ht="18.75" hidden="1">
      <c r="A236" s="1783" t="s">
        <v>363</v>
      </c>
      <c r="B236" s="1783" t="s">
        <v>364</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444</v>
      </c>
      <c r="M236" s="345"/>
      <c r="N236" s="338"/>
      <c r="O236" s="1628"/>
      <c r="P236" s="1628"/>
      <c r="AH236" s="1635">
        <v>0</v>
      </c>
    </row>
    <row s="1639" customFormat="1" customHeight="1" ht="18.75" hidden="1">
      <c r="A237" s="1783"/>
      <c r="B237" s="1783"/>
      <c r="C237" s="373" t="s">
        <v>1482</v>
      </c>
      <c r="D237" s="2479"/>
      <c r="E237" s="2221"/>
      <c r="F237" s="2400"/>
      <c r="G237" s="2444"/>
      <c r="H237" s="1504"/>
      <c r="I237" s="655" t="s">
        <v>1481</v>
      </c>
      <c r="J237" s="575"/>
      <c r="K237" s="1504"/>
      <c r="L237" s="218"/>
      <c r="M237" s="345"/>
      <c r="N237" s="338"/>
      <c r="O237" s="1628"/>
      <c r="P237" s="1628"/>
      <c r="AH237" s="1635">
        <v>0</v>
      </c>
    </row>
    <row s="1639" customFormat="1" customHeight="1" ht="0.75" hidden="1">
      <c r="A238" s="1783"/>
      <c r="B238" s="1783"/>
      <c r="C238" s="373" t="s">
        <v>1489</v>
      </c>
      <c r="D238" s="2479"/>
      <c r="E238" s="2221"/>
      <c r="F238" s="2400"/>
      <c r="G238" s="404"/>
      <c r="H238" s="1504"/>
      <c r="I238" s="655"/>
      <c r="J238" s="575"/>
      <c r="K238" s="1504"/>
      <c r="L238" s="218"/>
      <c r="M238" s="345"/>
      <c r="N238" s="338"/>
      <c r="O238" s="1628"/>
      <c r="P238" s="1628"/>
      <c r="AH238" s="1635">
        <v>0</v>
      </c>
    </row>
    <row s="1639" customFormat="1" customHeight="1" ht="18.75" hidden="1">
      <c r="A239" s="1783" t="s">
        <v>368</v>
      </c>
      <c r="B239" s="1783" t="s">
        <v>369</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444</v>
      </c>
      <c r="M239" s="345"/>
      <c r="N239" s="338"/>
      <c r="O239" s="1628"/>
      <c r="P239" s="1628"/>
      <c r="AH239" s="1635">
        <v>0</v>
      </c>
    </row>
    <row s="1639" customFormat="1" customHeight="1" ht="18.75" hidden="1">
      <c r="A240" s="1783"/>
      <c r="B240" s="1783"/>
      <c r="C240" s="373" t="s">
        <v>1482</v>
      </c>
      <c r="D240" s="2479"/>
      <c r="E240" s="2221"/>
      <c r="F240" s="2400"/>
      <c r="G240" s="2444"/>
      <c r="H240" s="1504"/>
      <c r="I240" s="655" t="s">
        <v>1481</v>
      </c>
      <c r="J240" s="575"/>
      <c r="K240" s="1504"/>
      <c r="L240" s="218"/>
      <c r="M240" s="345"/>
      <c r="N240" s="338"/>
      <c r="O240" s="1628"/>
      <c r="P240" s="1628"/>
      <c r="AH240" s="1635">
        <v>0</v>
      </c>
    </row>
    <row s="1639" customFormat="1" customHeight="1" ht="0.75" hidden="1">
      <c r="A241" s="1783"/>
      <c r="B241" s="1783"/>
      <c r="C241" s="373" t="s">
        <v>1489</v>
      </c>
      <c r="D241" s="2479"/>
      <c r="E241" s="2221"/>
      <c r="F241" s="2400"/>
      <c r="G241" s="404"/>
      <c r="H241" s="1504"/>
      <c r="I241" s="655"/>
      <c r="J241" s="575"/>
      <c r="K241" s="1504"/>
      <c r="L241" s="218"/>
      <c r="M241" s="345"/>
      <c r="N241" s="338"/>
      <c r="O241" s="1628"/>
      <c r="P241" s="1628"/>
      <c r="AH241" s="1635">
        <v>0</v>
      </c>
    </row>
    <row s="1639" customFormat="1" customHeight="1" ht="18.75" hidden="1">
      <c r="A242" s="1783" t="s">
        <v>373</v>
      </c>
      <c r="B242" s="1783" t="s">
        <v>374</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444</v>
      </c>
      <c r="M242" s="345"/>
      <c r="N242" s="338"/>
      <c r="O242" s="1628"/>
      <c r="P242" s="1628"/>
      <c r="AH242" s="1635">
        <v>0</v>
      </c>
    </row>
    <row s="1639" customFormat="1" customHeight="1" ht="18.75" hidden="1">
      <c r="A243" s="1783"/>
      <c r="B243" s="1783"/>
      <c r="C243" s="373" t="s">
        <v>1482</v>
      </c>
      <c r="D243" s="2479"/>
      <c r="E243" s="2221"/>
      <c r="F243" s="2400"/>
      <c r="G243" s="2444"/>
      <c r="H243" s="1504"/>
      <c r="I243" s="655" t="s">
        <v>1481</v>
      </c>
      <c r="J243" s="575"/>
      <c r="K243" s="1504"/>
      <c r="L243" s="218"/>
      <c r="M243" s="345"/>
      <c r="N243" s="338"/>
      <c r="O243" s="1628"/>
      <c r="P243" s="1628"/>
      <c r="AH243" s="1635">
        <v>0</v>
      </c>
    </row>
    <row s="1639" customFormat="1" customHeight="1" ht="0.75" hidden="1">
      <c r="A244" s="1783"/>
      <c r="B244" s="1783"/>
      <c r="C244" s="373" t="s">
        <v>1489</v>
      </c>
      <c r="D244" s="2479"/>
      <c r="E244" s="2221"/>
      <c r="F244" s="2400"/>
      <c r="G244" s="404"/>
      <c r="H244" s="1504"/>
      <c r="I244" s="655"/>
      <c r="J244" s="575"/>
      <c r="K244" s="1504"/>
      <c r="L244" s="218"/>
      <c r="M244" s="345"/>
      <c r="N244" s="338"/>
      <c r="O244" s="1628"/>
      <c r="P244" s="1628"/>
      <c r="AH244" s="1635">
        <v>0</v>
      </c>
    </row>
    <row s="1639" customFormat="1" customHeight="1" ht="18.75" hidden="1">
      <c r="A245" s="1783" t="s">
        <v>378</v>
      </c>
      <c r="B245" s="1783" t="s">
        <v>379</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444</v>
      </c>
      <c r="M245" s="345"/>
      <c r="N245" s="338"/>
      <c r="O245" s="1628"/>
      <c r="P245" s="1628"/>
      <c r="AH245" s="1635">
        <v>0</v>
      </c>
    </row>
    <row s="1639" customFormat="1" customHeight="1" ht="18.75" hidden="1">
      <c r="A246" s="1783"/>
      <c r="B246" s="1783"/>
      <c r="C246" s="373" t="s">
        <v>1482</v>
      </c>
      <c r="D246" s="2479"/>
      <c r="E246" s="2221"/>
      <c r="F246" s="2400"/>
      <c r="G246" s="2444"/>
      <c r="H246" s="1504"/>
      <c r="I246" s="655" t="s">
        <v>1481</v>
      </c>
      <c r="J246" s="575"/>
      <c r="K246" s="1504"/>
      <c r="L246" s="218"/>
      <c r="M246" s="345"/>
      <c r="N246" s="338"/>
      <c r="O246" s="1628"/>
      <c r="P246" s="1628"/>
      <c r="AH246" s="1635">
        <v>0</v>
      </c>
    </row>
    <row s="1639" customFormat="1" customHeight="1" ht="0.75" hidden="1">
      <c r="A247" s="1783"/>
      <c r="B247" s="1783"/>
      <c r="C247" s="373" t="s">
        <v>1489</v>
      </c>
      <c r="D247" s="2479"/>
      <c r="E247" s="2221"/>
      <c r="F247" s="2400"/>
      <c r="G247" s="404"/>
      <c r="H247" s="1504"/>
      <c r="I247" s="655"/>
      <c r="J247" s="575"/>
      <c r="K247" s="1504"/>
      <c r="L247" s="218"/>
      <c r="M247" s="345"/>
      <c r="N247" s="338"/>
      <c r="O247" s="1628"/>
      <c r="P247" s="1628"/>
      <c r="AH247" s="1635">
        <v>0</v>
      </c>
    </row>
    <row s="1639" customFormat="1" customHeight="1" ht="18.75" hidden="1">
      <c r="A248" s="1783" t="s">
        <v>383</v>
      </c>
      <c r="B248" s="1783" t="s">
        <v>384</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444</v>
      </c>
      <c r="M248" s="345"/>
      <c r="N248" s="338"/>
      <c r="O248" s="1628"/>
      <c r="P248" s="1628"/>
      <c r="AH248" s="1635">
        <v>0</v>
      </c>
    </row>
    <row s="1639" customFormat="1" customHeight="1" ht="18.75" hidden="1">
      <c r="A249" s="1783"/>
      <c r="B249" s="1783"/>
      <c r="C249" s="373" t="s">
        <v>1482</v>
      </c>
      <c r="D249" s="2479"/>
      <c r="E249" s="2221"/>
      <c r="F249" s="2400"/>
      <c r="G249" s="2444"/>
      <c r="H249" s="1504"/>
      <c r="I249" s="655" t="s">
        <v>1481</v>
      </c>
      <c r="J249" s="575"/>
      <c r="K249" s="1504"/>
      <c r="L249" s="218"/>
      <c r="M249" s="345"/>
      <c r="N249" s="338"/>
      <c r="O249" s="1628"/>
      <c r="P249" s="1628"/>
      <c r="AH249" s="1635">
        <v>0</v>
      </c>
    </row>
    <row s="1639" customFormat="1" customHeight="1" ht="0.75" hidden="1">
      <c r="A250" s="1783"/>
      <c r="B250" s="1783"/>
      <c r="C250" s="373" t="s">
        <v>1489</v>
      </c>
      <c r="D250" s="2479"/>
      <c r="E250" s="2221"/>
      <c r="F250" s="2400"/>
      <c r="G250" s="404"/>
      <c r="H250" s="1504"/>
      <c r="I250" s="655"/>
      <c r="J250" s="575"/>
      <c r="K250" s="1504"/>
      <c r="L250" s="218"/>
      <c r="M250" s="345"/>
      <c r="N250" s="338"/>
      <c r="O250" s="1628"/>
      <c r="P250" s="1628"/>
      <c r="AH250" s="1635">
        <v>0</v>
      </c>
    </row>
    <row s="1639" customFormat="1" customHeight="1" ht="18.75" hidden="1">
      <c r="A251" s="1783" t="s">
        <v>388</v>
      </c>
      <c r="B251" s="1783" t="s">
        <v>389</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444</v>
      </c>
      <c r="M251" s="345"/>
      <c r="N251" s="338"/>
      <c r="O251" s="1628"/>
      <c r="P251" s="1628"/>
      <c r="AH251" s="1635">
        <v>0</v>
      </c>
    </row>
    <row s="1639" customFormat="1" customHeight="1" ht="18.75" hidden="1">
      <c r="A252" s="1783"/>
      <c r="B252" s="1783"/>
      <c r="C252" s="373" t="s">
        <v>1482</v>
      </c>
      <c r="D252" s="2479"/>
      <c r="E252" s="2221"/>
      <c r="F252" s="2400"/>
      <c r="G252" s="2444"/>
      <c r="H252" s="1504"/>
      <c r="I252" s="655" t="s">
        <v>1481</v>
      </c>
      <c r="J252" s="575"/>
      <c r="K252" s="1504"/>
      <c r="L252" s="218"/>
      <c r="M252" s="345"/>
      <c r="N252" s="338"/>
      <c r="O252" s="1628"/>
      <c r="P252" s="1628"/>
      <c r="AH252" s="1635">
        <v>0</v>
      </c>
    </row>
    <row s="1639" customFormat="1" customHeight="1" ht="0.75" hidden="1">
      <c r="A253" s="1783"/>
      <c r="B253" s="1783"/>
      <c r="C253" s="373" t="s">
        <v>1489</v>
      </c>
      <c r="D253" s="2479"/>
      <c r="E253" s="2221"/>
      <c r="F253" s="2400"/>
      <c r="G253" s="404"/>
      <c r="H253" s="1504"/>
      <c r="I253" s="655"/>
      <c r="J253" s="575"/>
      <c r="K253" s="1504"/>
      <c r="L253" s="218"/>
      <c r="M253" s="345"/>
      <c r="N253" s="338"/>
      <c r="O253" s="1628"/>
      <c r="P253" s="1628"/>
      <c r="AH253" s="1635">
        <v>0</v>
      </c>
    </row>
    <row s="1639" customFormat="1" customHeight="1" ht="18.75" hidden="1">
      <c r="A254" s="1783" t="s">
        <v>393</v>
      </c>
      <c r="B254" s="1783" t="s">
        <v>394</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444</v>
      </c>
      <c r="M254" s="345"/>
      <c r="N254" s="338"/>
      <c r="O254" s="1628"/>
      <c r="P254" s="1628"/>
      <c r="AH254" s="1635">
        <v>0</v>
      </c>
    </row>
    <row s="1639" customFormat="1" customHeight="1" ht="18.75" hidden="1">
      <c r="A255" s="1783"/>
      <c r="B255" s="1783"/>
      <c r="C255" s="373" t="s">
        <v>1482</v>
      </c>
      <c r="D255" s="2479"/>
      <c r="E255" s="2221"/>
      <c r="F255" s="2400"/>
      <c r="G255" s="2444"/>
      <c r="H255" s="1504"/>
      <c r="I255" s="655" t="s">
        <v>1481</v>
      </c>
      <c r="J255" s="575"/>
      <c r="K255" s="1504"/>
      <c r="L255" s="218"/>
      <c r="M255" s="345"/>
      <c r="N255" s="338"/>
      <c r="O255" s="1628"/>
      <c r="P255" s="1628"/>
      <c r="AH255" s="1635">
        <v>0</v>
      </c>
    </row>
    <row s="1639" customFormat="1" customHeight="1" ht="0.75" hidden="1">
      <c r="A256" s="1783"/>
      <c r="B256" s="1783"/>
      <c r="C256" s="373" t="s">
        <v>1489</v>
      </c>
      <c r="D256" s="2479"/>
      <c r="E256" s="2221"/>
      <c r="F256" s="2400"/>
      <c r="G256" s="404"/>
      <c r="H256" s="1504"/>
      <c r="I256" s="655"/>
      <c r="J256" s="575"/>
      <c r="K256" s="1504"/>
      <c r="L256" s="218"/>
      <c r="M256" s="345"/>
      <c r="N256" s="338"/>
      <c r="O256" s="1628"/>
      <c r="P256" s="1628"/>
      <c r="AH256" s="1635">
        <v>0</v>
      </c>
    </row>
    <row s="1639" customFormat="1" customHeight="1" ht="18.75" hidden="1">
      <c r="A257" s="1783" t="s">
        <v>398</v>
      </c>
      <c r="B257" s="1783" t="s">
        <v>399</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444</v>
      </c>
      <c r="M257" s="345"/>
      <c r="N257" s="338"/>
      <c r="O257" s="1628"/>
      <c r="P257" s="1628"/>
      <c r="AH257" s="1635">
        <v>0</v>
      </c>
    </row>
    <row s="1639" customFormat="1" customHeight="1" ht="18.75" hidden="1">
      <c r="A258" s="1783"/>
      <c r="B258" s="1783"/>
      <c r="C258" s="373" t="s">
        <v>1482</v>
      </c>
      <c r="D258" s="2479"/>
      <c r="E258" s="2221"/>
      <c r="F258" s="2400"/>
      <c r="G258" s="2444"/>
      <c r="H258" s="1504"/>
      <c r="I258" s="655" t="s">
        <v>1481</v>
      </c>
      <c r="J258" s="575"/>
      <c r="K258" s="1504"/>
      <c r="L258" s="218"/>
      <c r="M258" s="345"/>
      <c r="N258" s="338"/>
      <c r="O258" s="1628"/>
      <c r="P258" s="1628"/>
      <c r="AH258" s="1635">
        <v>0</v>
      </c>
    </row>
    <row s="1639" customFormat="1" customHeight="1" ht="0.75" hidden="1">
      <c r="A259" s="1783"/>
      <c r="B259" s="1783"/>
      <c r="C259" s="373" t="s">
        <v>1489</v>
      </c>
      <c r="D259" s="2479"/>
      <c r="E259" s="2221"/>
      <c r="F259" s="2400"/>
      <c r="G259" s="404"/>
      <c r="H259" s="1504"/>
      <c r="I259" s="655"/>
      <c r="J259" s="575"/>
      <c r="K259" s="1504"/>
      <c r="L259" s="218"/>
      <c r="M259" s="345"/>
      <c r="N259" s="338"/>
      <c r="O259" s="1628"/>
      <c r="P259" s="1628"/>
      <c r="AH259" s="1635">
        <v>0</v>
      </c>
    </row>
    <row s="1639" customFormat="1" customHeight="1" ht="18.75" hidden="1">
      <c r="A260" s="1783" t="s">
        <v>403</v>
      </c>
      <c r="B260" s="1783" t="s">
        <v>404</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444</v>
      </c>
      <c r="M260" s="345"/>
      <c r="N260" s="338"/>
      <c r="O260" s="1628"/>
      <c r="P260" s="1628"/>
      <c r="AH260" s="1635">
        <v>0</v>
      </c>
    </row>
    <row s="1639" customFormat="1" customHeight="1" ht="18.75" hidden="1">
      <c r="A261" s="1783"/>
      <c r="B261" s="1783"/>
      <c r="C261" s="373" t="s">
        <v>1482</v>
      </c>
      <c r="D261" s="2479"/>
      <c r="E261" s="2221"/>
      <c r="F261" s="2400"/>
      <c r="G261" s="2444"/>
      <c r="H261" s="1504"/>
      <c r="I261" s="655" t="s">
        <v>1481</v>
      </c>
      <c r="J261" s="575"/>
      <c r="K261" s="1504"/>
      <c r="L261" s="218"/>
      <c r="M261" s="345"/>
      <c r="N261" s="338"/>
      <c r="O261" s="1628"/>
      <c r="P261" s="1628"/>
      <c r="AH261" s="1635">
        <v>0</v>
      </c>
    </row>
    <row s="1639" customFormat="1" customHeight="1" ht="0.75" hidden="1">
      <c r="A262" s="1783"/>
      <c r="B262" s="1783"/>
      <c r="C262" s="373" t="s">
        <v>1489</v>
      </c>
      <c r="D262" s="2479"/>
      <c r="E262" s="2221"/>
      <c r="F262" s="2400"/>
      <c r="G262" s="404"/>
      <c r="H262" s="1504"/>
      <c r="I262" s="655"/>
      <c r="J262" s="575"/>
      <c r="K262" s="1504"/>
      <c r="L262" s="218"/>
      <c r="M262" s="345"/>
      <c r="N262" s="338"/>
      <c r="O262" s="1628"/>
      <c r="P262" s="1628"/>
      <c r="AH262" s="1635">
        <v>0</v>
      </c>
    </row>
    <row s="1639" customFormat="1" customHeight="1" ht="18.75" hidden="1">
      <c r="A263" s="1783" t="s">
        <v>408</v>
      </c>
      <c r="B263" s="1783" t="s">
        <v>409</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444</v>
      </c>
      <c r="M263" s="345"/>
      <c r="N263" s="338"/>
      <c r="O263" s="1628"/>
      <c r="P263" s="1628"/>
      <c r="AH263" s="1635">
        <v>0</v>
      </c>
    </row>
    <row s="1639" customFormat="1" customHeight="1" ht="18.75" hidden="1">
      <c r="A264" s="1783"/>
      <c r="B264" s="1783"/>
      <c r="C264" s="373" t="s">
        <v>1482</v>
      </c>
      <c r="D264" s="2479"/>
      <c r="E264" s="2221"/>
      <c r="F264" s="2400"/>
      <c r="G264" s="2444"/>
      <c r="H264" s="1504"/>
      <c r="I264" s="655" t="s">
        <v>1481</v>
      </c>
      <c r="J264" s="575"/>
      <c r="K264" s="1504"/>
      <c r="L264" s="218"/>
      <c r="M264" s="345"/>
      <c r="N264" s="338"/>
      <c r="O264" s="1628"/>
      <c r="P264" s="1628"/>
      <c r="AH264" s="1635">
        <v>0</v>
      </c>
    </row>
    <row s="1639" customFormat="1" customHeight="1" ht="0.75" hidden="1">
      <c r="A265" s="1783"/>
      <c r="B265" s="1783"/>
      <c r="C265" s="373" t="s">
        <v>1489</v>
      </c>
      <c r="D265" s="2479"/>
      <c r="E265" s="2221"/>
      <c r="F265" s="2400"/>
      <c r="G265" s="404"/>
      <c r="H265" s="1504"/>
      <c r="I265" s="655"/>
      <c r="J265" s="575"/>
      <c r="K265" s="1504"/>
      <c r="L265" s="218"/>
      <c r="M265" s="345"/>
      <c r="N265" s="338"/>
      <c r="O265" s="1628"/>
      <c r="P265" s="1628"/>
      <c r="AH265" s="1635">
        <v>0</v>
      </c>
    </row>
    <row s="1639" customFormat="1" customHeight="1" ht="18.75" hidden="1">
      <c r="A266" s="1783" t="s">
        <v>413</v>
      </c>
      <c r="B266" s="1783" t="s">
        <v>414</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444</v>
      </c>
      <c r="M266" s="345"/>
      <c r="N266" s="338"/>
      <c r="O266" s="1628"/>
      <c r="P266" s="1628"/>
      <c r="AH266" s="1635">
        <v>0</v>
      </c>
    </row>
    <row s="1639" customFormat="1" customHeight="1" ht="18.75" hidden="1">
      <c r="A267" s="1783"/>
      <c r="B267" s="1783"/>
      <c r="C267" s="373" t="s">
        <v>1482</v>
      </c>
      <c r="D267" s="2479"/>
      <c r="E267" s="2221"/>
      <c r="F267" s="2400"/>
      <c r="G267" s="2444"/>
      <c r="H267" s="1504"/>
      <c r="I267" s="655" t="s">
        <v>1481</v>
      </c>
      <c r="J267" s="575"/>
      <c r="K267" s="1504"/>
      <c r="L267" s="218"/>
      <c r="M267" s="345"/>
      <c r="N267" s="338"/>
      <c r="O267" s="1628"/>
      <c r="P267" s="1628"/>
      <c r="AH267" s="1635">
        <v>0</v>
      </c>
    </row>
    <row s="1639" customFormat="1" customHeight="1" ht="1.05">
      <c r="A268" s="1783"/>
      <c r="B268" s="1783"/>
      <c r="C268" s="373" t="s">
        <v>1489</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295</v>
      </c>
      <c r="B270" s="1783" t="s">
        <v>296</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444</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1482</v>
      </c>
      <c r="D271" s="2479"/>
      <c r="E271" s="2221"/>
      <c r="F271" s="2400"/>
      <c r="G271" s="2444"/>
      <c r="H271" s="1504"/>
      <c r="I271" s="655" t="s">
        <v>1481</v>
      </c>
      <c r="J271" s="575"/>
      <c r="K271" s="1504"/>
      <c r="L271" s="218"/>
      <c r="M271" s="2187"/>
      <c r="N271" s="338"/>
      <c r="O271" s="1628"/>
      <c r="P271" s="1628"/>
      <c r="AH271" s="1635">
        <v>0</v>
      </c>
    </row>
    <row s="1639" customFormat="1" customHeight="1" ht="0.75" hidden="1">
      <c r="A272" s="1783"/>
      <c r="B272" s="1783"/>
      <c r="C272" s="373" t="s">
        <v>1489</v>
      </c>
      <c r="D272" s="2479"/>
      <c r="E272" s="2221"/>
      <c r="F272" s="2400"/>
      <c r="G272" s="404"/>
      <c r="H272" s="1504"/>
      <c r="I272" s="655"/>
      <c r="J272" s="575"/>
      <c r="K272" s="1504"/>
      <c r="L272" s="218"/>
      <c r="M272" s="2187"/>
      <c r="N272" s="338"/>
      <c r="O272" s="1628"/>
      <c r="P272" s="1628"/>
      <c r="AH272" s="1635">
        <v>0</v>
      </c>
    </row>
    <row s="1639" customFormat="1" customHeight="1" ht="45" hidden="1">
      <c r="A273" s="1783" t="s">
        <v>300</v>
      </c>
      <c r="B273" s="1783" t="s">
        <v>301</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444</v>
      </c>
      <c r="M273" s="2188"/>
      <c r="N273" s="338"/>
      <c r="O273" s="1628"/>
      <c r="P273" s="1628"/>
      <c r="AH273" s="1635">
        <v>0</v>
      </c>
    </row>
    <row s="1639" customFormat="1" customHeight="1" ht="18.75" hidden="1">
      <c r="A274" s="1783"/>
      <c r="B274" s="1783"/>
      <c r="C274" s="373" t="s">
        <v>1482</v>
      </c>
      <c r="D274" s="2479"/>
      <c r="E274" s="2221"/>
      <c r="F274" s="2400"/>
      <c r="G274" s="2444"/>
      <c r="H274" s="1504"/>
      <c r="I274" s="655" t="s">
        <v>1481</v>
      </c>
      <c r="J274" s="575"/>
      <c r="K274" s="1504"/>
      <c r="L274" s="218"/>
      <c r="M274" s="1862"/>
      <c r="N274" s="338"/>
      <c r="O274" s="1628"/>
      <c r="P274" s="1628"/>
      <c r="AH274" s="1635">
        <v>0</v>
      </c>
    </row>
    <row s="1639" customFormat="1" customHeight="1" ht="0.75" hidden="1">
      <c r="A275" s="1783"/>
      <c r="B275" s="1783"/>
      <c r="C275" s="373" t="s">
        <v>1489</v>
      </c>
      <c r="D275" s="2479"/>
      <c r="E275" s="2221"/>
      <c r="F275" s="2400"/>
      <c r="G275" s="404"/>
      <c r="H275" s="1504"/>
      <c r="I275" s="655"/>
      <c r="J275" s="575"/>
      <c r="K275" s="1504"/>
      <c r="L275" s="218"/>
      <c r="M275" s="345"/>
      <c r="N275" s="338"/>
      <c r="O275" s="1628"/>
      <c r="P275" s="1628"/>
      <c r="AH275" s="1635">
        <v>0</v>
      </c>
    </row>
    <row s="1639" customFormat="1" customHeight="1" ht="45" hidden="1">
      <c r="A276" s="1783" t="s">
        <v>307</v>
      </c>
      <c r="B276" s="1783" t="s">
        <v>308</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444</v>
      </c>
      <c r="M276" s="345"/>
      <c r="N276" s="338"/>
      <c r="O276" s="1628"/>
      <c r="P276" s="1628"/>
      <c r="AH276" s="1635">
        <v>0</v>
      </c>
    </row>
    <row s="1639" customFormat="1" customHeight="1" ht="18.75" hidden="1">
      <c r="A277" s="1783"/>
      <c r="B277" s="1783"/>
      <c r="C277" s="373" t="s">
        <v>1482</v>
      </c>
      <c r="D277" s="2479"/>
      <c r="E277" s="2221"/>
      <c r="F277" s="2400"/>
      <c r="G277" s="2444"/>
      <c r="H277" s="1504"/>
      <c r="I277" s="655" t="s">
        <v>1481</v>
      </c>
      <c r="J277" s="575"/>
      <c r="K277" s="1504"/>
      <c r="L277" s="218"/>
      <c r="M277" s="345"/>
      <c r="N277" s="338"/>
      <c r="O277" s="1628"/>
      <c r="P277" s="1628"/>
      <c r="AH277" s="1635">
        <v>0</v>
      </c>
    </row>
    <row s="1639" customFormat="1" customHeight="1" ht="0.75" hidden="1">
      <c r="A278" s="1783"/>
      <c r="B278" s="1783"/>
      <c r="C278" s="373" t="s">
        <v>1489</v>
      </c>
      <c r="D278" s="2479"/>
      <c r="E278" s="2221"/>
      <c r="F278" s="2400"/>
      <c r="G278" s="404"/>
      <c r="H278" s="1504"/>
      <c r="I278" s="655"/>
      <c r="J278" s="575"/>
      <c r="K278" s="1504"/>
      <c r="L278" s="218"/>
      <c r="M278" s="345"/>
      <c r="N278" s="338"/>
      <c r="O278" s="1628"/>
      <c r="P278" s="1628"/>
      <c r="AH278" s="1635">
        <v>0</v>
      </c>
    </row>
    <row s="1639" customFormat="1" customHeight="1" ht="45" hidden="1">
      <c r="A279" s="1783" t="s">
        <v>313</v>
      </c>
      <c r="B279" s="1783" t="s">
        <v>314</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444</v>
      </c>
      <c r="M279" s="345"/>
      <c r="N279" s="338"/>
      <c r="O279" s="1628"/>
      <c r="P279" s="1628"/>
      <c r="AH279" s="1635">
        <v>0</v>
      </c>
    </row>
    <row s="1639" customFormat="1" customHeight="1" ht="18.75" hidden="1">
      <c r="A280" s="1783"/>
      <c r="B280" s="1783"/>
      <c r="C280" s="373" t="s">
        <v>1482</v>
      </c>
      <c r="D280" s="2479"/>
      <c r="E280" s="2221"/>
      <c r="F280" s="2400"/>
      <c r="G280" s="2444"/>
      <c r="H280" s="1504"/>
      <c r="I280" s="655" t="s">
        <v>1481</v>
      </c>
      <c r="J280" s="575"/>
      <c r="K280" s="1504"/>
      <c r="L280" s="218"/>
      <c r="M280" s="345"/>
      <c r="N280" s="338"/>
      <c r="O280" s="1628"/>
      <c r="P280" s="1628"/>
      <c r="AH280" s="1635">
        <v>0</v>
      </c>
    </row>
    <row s="1639" customFormat="1" customHeight="1" ht="0.75" hidden="1">
      <c r="A281" s="1783"/>
      <c r="B281" s="1783"/>
      <c r="C281" s="373" t="s">
        <v>1489</v>
      </c>
      <c r="D281" s="2479"/>
      <c r="E281" s="2221"/>
      <c r="F281" s="2400"/>
      <c r="G281" s="404"/>
      <c r="H281" s="1504"/>
      <c r="I281" s="655"/>
      <c r="J281" s="575"/>
      <c r="K281" s="1504"/>
      <c r="L281" s="218"/>
      <c r="M281" s="345"/>
      <c r="N281" s="338"/>
      <c r="O281" s="1628"/>
      <c r="P281" s="1628"/>
      <c r="AH281" s="1635">
        <v>0</v>
      </c>
    </row>
    <row s="1639" customFormat="1" customHeight="1" ht="18.75" hidden="1">
      <c r="A282" s="1783" t="s">
        <v>319</v>
      </c>
      <c r="B282" s="1783" t="s">
        <v>320</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444</v>
      </c>
      <c r="M282" s="345"/>
      <c r="N282" s="338"/>
      <c r="O282" s="1628"/>
      <c r="P282" s="1628"/>
      <c r="AH282" s="1635">
        <v>0</v>
      </c>
    </row>
    <row s="1639" customFormat="1" customHeight="1" ht="18.75" hidden="1">
      <c r="A283" s="1783"/>
      <c r="B283" s="1783"/>
      <c r="C283" s="373" t="s">
        <v>1482</v>
      </c>
      <c r="D283" s="2479"/>
      <c r="E283" s="2221"/>
      <c r="F283" s="2400"/>
      <c r="G283" s="2444"/>
      <c r="H283" s="1504"/>
      <c r="I283" s="655" t="s">
        <v>1481</v>
      </c>
      <c r="J283" s="575"/>
      <c r="K283" s="1504"/>
      <c r="L283" s="218"/>
      <c r="M283" s="345"/>
      <c r="N283" s="338"/>
      <c r="O283" s="1628"/>
      <c r="P283" s="1628"/>
      <c r="AH283" s="1635">
        <v>0</v>
      </c>
    </row>
    <row s="1639" customFormat="1" customHeight="1" ht="0.75" hidden="1">
      <c r="A284" s="1783"/>
      <c r="B284" s="1783"/>
      <c r="C284" s="373" t="s">
        <v>1489</v>
      </c>
      <c r="D284" s="2479"/>
      <c r="E284" s="2221"/>
      <c r="F284" s="2400"/>
      <c r="G284" s="404"/>
      <c r="H284" s="1504"/>
      <c r="I284" s="655"/>
      <c r="J284" s="575"/>
      <c r="K284" s="1504"/>
      <c r="L284" s="218"/>
      <c r="M284" s="345"/>
      <c r="N284" s="338"/>
      <c r="O284" s="1628"/>
      <c r="P284" s="1628"/>
      <c r="AH284" s="1635">
        <v>0</v>
      </c>
    </row>
    <row s="1639" customFormat="1" customHeight="1" ht="18.75" hidden="1">
      <c r="A285" s="1783" t="s">
        <v>325</v>
      </c>
      <c r="B285" s="1783" t="s">
        <v>326</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444</v>
      </c>
      <c r="M285" s="345"/>
      <c r="N285" s="338"/>
      <c r="O285" s="1628"/>
      <c r="P285" s="1628"/>
      <c r="AH285" s="1635">
        <v>0</v>
      </c>
    </row>
    <row s="1639" customFormat="1" customHeight="1" ht="18.75" hidden="1">
      <c r="A286" s="1783"/>
      <c r="B286" s="1783"/>
      <c r="C286" s="373" t="s">
        <v>1482</v>
      </c>
      <c r="D286" s="2479"/>
      <c r="E286" s="2221"/>
      <c r="F286" s="2400"/>
      <c r="G286" s="2444"/>
      <c r="H286" s="1504"/>
      <c r="I286" s="655" t="s">
        <v>1481</v>
      </c>
      <c r="J286" s="575"/>
      <c r="K286" s="1504"/>
      <c r="L286" s="218"/>
      <c r="M286" s="345"/>
      <c r="N286" s="338"/>
      <c r="O286" s="1628"/>
      <c r="P286" s="1628"/>
      <c r="AH286" s="1635">
        <v>0</v>
      </c>
    </row>
    <row s="1639" customFormat="1" customHeight="1" ht="0.75" hidden="1">
      <c r="A287" s="1783"/>
      <c r="B287" s="1783"/>
      <c r="C287" s="373" t="s">
        <v>1489</v>
      </c>
      <c r="D287" s="2479"/>
      <c r="E287" s="2221"/>
      <c r="F287" s="2400"/>
      <c r="G287" s="404"/>
      <c r="H287" s="1504"/>
      <c r="I287" s="655"/>
      <c r="J287" s="575"/>
      <c r="K287" s="1504"/>
      <c r="L287" s="218"/>
      <c r="M287" s="345"/>
      <c r="N287" s="338"/>
      <c r="O287" s="1628"/>
      <c r="P287" s="1628"/>
      <c r="AH287" s="1635">
        <v>0</v>
      </c>
    </row>
    <row s="1639" customFormat="1" customHeight="1" ht="18.75" hidden="1">
      <c r="A288" s="1783" t="s">
        <v>331</v>
      </c>
      <c r="B288" s="1783" t="s">
        <v>332</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444</v>
      </c>
      <c r="M288" s="345"/>
      <c r="N288" s="338"/>
      <c r="O288" s="1628"/>
      <c r="P288" s="1628"/>
      <c r="AH288" s="1635">
        <v>0</v>
      </c>
    </row>
    <row s="1639" customFormat="1" customHeight="1" ht="18.75" hidden="1">
      <c r="A289" s="1783"/>
      <c r="B289" s="1783"/>
      <c r="C289" s="373" t="s">
        <v>1482</v>
      </c>
      <c r="D289" s="2479"/>
      <c r="E289" s="2221"/>
      <c r="F289" s="2400"/>
      <c r="G289" s="2444"/>
      <c r="H289" s="1504"/>
      <c r="I289" s="655" t="s">
        <v>1481</v>
      </c>
      <c r="J289" s="575"/>
      <c r="K289" s="1504"/>
      <c r="L289" s="218"/>
      <c r="M289" s="345"/>
      <c r="N289" s="338"/>
      <c r="O289" s="1628"/>
      <c r="P289" s="1628"/>
      <c r="AH289" s="1635">
        <v>0</v>
      </c>
    </row>
    <row s="1639" customFormat="1" customHeight="1" ht="0.75" hidden="1">
      <c r="A290" s="1783"/>
      <c r="B290" s="1783"/>
      <c r="C290" s="373" t="s">
        <v>1489</v>
      </c>
      <c r="D290" s="2479"/>
      <c r="E290" s="2221"/>
      <c r="F290" s="2400"/>
      <c r="G290" s="404"/>
      <c r="H290" s="1504"/>
      <c r="I290" s="655"/>
      <c r="J290" s="575"/>
      <c r="K290" s="1504"/>
      <c r="L290" s="218"/>
      <c r="M290" s="345"/>
      <c r="N290" s="338"/>
      <c r="O290" s="1628"/>
      <c r="P290" s="1628"/>
      <c r="AH290" s="1635">
        <v>0</v>
      </c>
    </row>
    <row s="1639" customFormat="1" customHeight="1" ht="18.75" hidden="1">
      <c r="A291" s="1783" t="s">
        <v>337</v>
      </c>
      <c r="B291" s="1783" t="s">
        <v>338</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444</v>
      </c>
      <c r="M291" s="345"/>
      <c r="N291" s="338"/>
      <c r="O291" s="1628"/>
      <c r="P291" s="1628"/>
      <c r="AH291" s="1635">
        <v>0</v>
      </c>
    </row>
    <row s="1639" customFormat="1" customHeight="1" ht="18.75" hidden="1">
      <c r="A292" s="1783"/>
      <c r="B292" s="1783"/>
      <c r="C292" s="373" t="s">
        <v>1482</v>
      </c>
      <c r="D292" s="2479"/>
      <c r="E292" s="2221"/>
      <c r="F292" s="2400"/>
      <c r="G292" s="2444"/>
      <c r="H292" s="1504"/>
      <c r="I292" s="655" t="s">
        <v>1481</v>
      </c>
      <c r="J292" s="575"/>
      <c r="K292" s="1504"/>
      <c r="L292" s="218"/>
      <c r="M292" s="345"/>
      <c r="N292" s="338"/>
      <c r="O292" s="1628"/>
      <c r="P292" s="1628"/>
      <c r="AH292" s="1635">
        <v>0</v>
      </c>
    </row>
    <row s="1639" customFormat="1" customHeight="1" ht="0.75" hidden="1">
      <c r="A293" s="1783"/>
      <c r="B293" s="1783"/>
      <c r="C293" s="373" t="s">
        <v>1489</v>
      </c>
      <c r="D293" s="2479"/>
      <c r="E293" s="2221"/>
      <c r="F293" s="2400"/>
      <c r="G293" s="404"/>
      <c r="H293" s="1504"/>
      <c r="I293" s="655"/>
      <c r="J293" s="575"/>
      <c r="K293" s="1504"/>
      <c r="L293" s="218"/>
      <c r="M293" s="345"/>
      <c r="N293" s="338"/>
      <c r="O293" s="1628"/>
      <c r="P293" s="1628"/>
      <c r="AH293" s="1635">
        <v>0</v>
      </c>
    </row>
    <row s="1639" customFormat="1" customHeight="1" ht="18.75" hidden="1">
      <c r="A294" s="1783" t="s">
        <v>343</v>
      </c>
      <c r="B294" s="1783" t="s">
        <v>344</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444</v>
      </c>
      <c r="M294" s="345"/>
      <c r="N294" s="338"/>
      <c r="O294" s="1628"/>
      <c r="P294" s="1628"/>
      <c r="AH294" s="1635">
        <v>0</v>
      </c>
    </row>
    <row s="1639" customFormat="1" customHeight="1" ht="18.75" hidden="1">
      <c r="A295" s="1783"/>
      <c r="B295" s="1783"/>
      <c r="C295" s="373" t="s">
        <v>1482</v>
      </c>
      <c r="D295" s="2479"/>
      <c r="E295" s="2221"/>
      <c r="F295" s="2400"/>
      <c r="G295" s="2444"/>
      <c r="H295" s="1504"/>
      <c r="I295" s="655" t="s">
        <v>1481</v>
      </c>
      <c r="J295" s="575"/>
      <c r="K295" s="1504"/>
      <c r="L295" s="218"/>
      <c r="M295" s="345"/>
      <c r="N295" s="338"/>
      <c r="O295" s="1628"/>
      <c r="P295" s="1628"/>
      <c r="AH295" s="1635">
        <v>0</v>
      </c>
    </row>
    <row s="1639" customFormat="1" customHeight="1" ht="0.75" hidden="1">
      <c r="A296" s="1783"/>
      <c r="B296" s="1783"/>
      <c r="C296" s="373" t="s">
        <v>1489</v>
      </c>
      <c r="D296" s="2479"/>
      <c r="E296" s="2221"/>
      <c r="F296" s="2400"/>
      <c r="G296" s="404"/>
      <c r="H296" s="1504"/>
      <c r="I296" s="655"/>
      <c r="J296" s="575"/>
      <c r="K296" s="1504"/>
      <c r="L296" s="218"/>
      <c r="M296" s="345"/>
      <c r="N296" s="338"/>
      <c r="O296" s="1628"/>
      <c r="P296" s="1628"/>
      <c r="AH296" s="1635">
        <v>0</v>
      </c>
    </row>
    <row s="1639" customFormat="1" customHeight="1" ht="18.75" hidden="1">
      <c r="A297" s="1783" t="s">
        <v>363</v>
      </c>
      <c r="B297" s="1783" t="s">
        <v>364</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444</v>
      </c>
      <c r="M297" s="345"/>
      <c r="N297" s="338"/>
      <c r="O297" s="1628"/>
      <c r="P297" s="1628"/>
      <c r="AH297" s="1635">
        <v>0</v>
      </c>
    </row>
    <row s="1639" customFormat="1" customHeight="1" ht="18.75" hidden="1">
      <c r="A298" s="1783"/>
      <c r="B298" s="1783"/>
      <c r="C298" s="373" t="s">
        <v>1482</v>
      </c>
      <c r="D298" s="2479"/>
      <c r="E298" s="2221"/>
      <c r="F298" s="2400"/>
      <c r="G298" s="2444"/>
      <c r="H298" s="1504"/>
      <c r="I298" s="655" t="s">
        <v>1481</v>
      </c>
      <c r="J298" s="575"/>
      <c r="K298" s="1504"/>
      <c r="L298" s="218"/>
      <c r="M298" s="345"/>
      <c r="N298" s="338"/>
      <c r="O298" s="1628"/>
      <c r="P298" s="1628"/>
      <c r="AH298" s="1635">
        <v>0</v>
      </c>
    </row>
    <row s="1639" customFormat="1" customHeight="1" ht="0.75" hidden="1">
      <c r="A299" s="1783"/>
      <c r="B299" s="1783"/>
      <c r="C299" s="373" t="s">
        <v>1489</v>
      </c>
      <c r="D299" s="2479"/>
      <c r="E299" s="2221"/>
      <c r="F299" s="2400"/>
      <c r="G299" s="404"/>
      <c r="H299" s="1504"/>
      <c r="I299" s="655"/>
      <c r="J299" s="575"/>
      <c r="K299" s="1504"/>
      <c r="L299" s="218"/>
      <c r="M299" s="345"/>
      <c r="N299" s="338"/>
      <c r="O299" s="1628"/>
      <c r="P299" s="1628"/>
      <c r="AH299" s="1635">
        <v>0</v>
      </c>
    </row>
    <row s="1639" customFormat="1" customHeight="1" ht="18.75" hidden="1">
      <c r="A300" s="1783" t="s">
        <v>368</v>
      </c>
      <c r="B300" s="1783" t="s">
        <v>369</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444</v>
      </c>
      <c r="M300" s="345"/>
      <c r="N300" s="338"/>
      <c r="O300" s="1628"/>
      <c r="P300" s="1628"/>
      <c r="AH300" s="1635">
        <v>0</v>
      </c>
    </row>
    <row s="1639" customFormat="1" customHeight="1" ht="18.75" hidden="1">
      <c r="A301" s="1783"/>
      <c r="B301" s="1783"/>
      <c r="C301" s="373" t="s">
        <v>1482</v>
      </c>
      <c r="D301" s="2479"/>
      <c r="E301" s="2221"/>
      <c r="F301" s="2400"/>
      <c r="G301" s="2444"/>
      <c r="H301" s="1504"/>
      <c r="I301" s="655" t="s">
        <v>1481</v>
      </c>
      <c r="J301" s="575"/>
      <c r="K301" s="1504"/>
      <c r="L301" s="218"/>
      <c r="M301" s="345"/>
      <c r="N301" s="338"/>
      <c r="O301" s="1628"/>
      <c r="P301" s="1628"/>
      <c r="AH301" s="1635">
        <v>0</v>
      </c>
    </row>
    <row s="1639" customFormat="1" customHeight="1" ht="0.75" hidden="1">
      <c r="A302" s="1783"/>
      <c r="B302" s="1783"/>
      <c r="C302" s="373" t="s">
        <v>1489</v>
      </c>
      <c r="D302" s="2479"/>
      <c r="E302" s="2221"/>
      <c r="F302" s="2400"/>
      <c r="G302" s="404"/>
      <c r="H302" s="1504"/>
      <c r="I302" s="655"/>
      <c r="J302" s="575"/>
      <c r="K302" s="1504"/>
      <c r="L302" s="218"/>
      <c r="M302" s="345"/>
      <c r="N302" s="338"/>
      <c r="O302" s="1628"/>
      <c r="P302" s="1628"/>
      <c r="AH302" s="1635">
        <v>0</v>
      </c>
    </row>
    <row s="1639" customFormat="1" customHeight="1" ht="18.75" hidden="1">
      <c r="A303" s="1783" t="s">
        <v>373</v>
      </c>
      <c r="B303" s="1783" t="s">
        <v>374</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444</v>
      </c>
      <c r="M303" s="345"/>
      <c r="N303" s="338"/>
      <c r="O303" s="1628"/>
      <c r="P303" s="1628"/>
      <c r="AH303" s="1635">
        <v>0</v>
      </c>
    </row>
    <row s="1639" customFormat="1" customHeight="1" ht="18.75" hidden="1">
      <c r="A304" s="1783"/>
      <c r="B304" s="1783"/>
      <c r="C304" s="373" t="s">
        <v>1482</v>
      </c>
      <c r="D304" s="2479"/>
      <c r="E304" s="2221"/>
      <c r="F304" s="2400"/>
      <c r="G304" s="2444"/>
      <c r="H304" s="1504"/>
      <c r="I304" s="655" t="s">
        <v>1481</v>
      </c>
      <c r="J304" s="575"/>
      <c r="K304" s="1504"/>
      <c r="L304" s="218"/>
      <c r="M304" s="345"/>
      <c r="N304" s="338"/>
      <c r="O304" s="1628"/>
      <c r="P304" s="1628"/>
      <c r="AH304" s="1635">
        <v>0</v>
      </c>
    </row>
    <row s="1639" customFormat="1" customHeight="1" ht="0.75" hidden="1">
      <c r="A305" s="1783"/>
      <c r="B305" s="1783"/>
      <c r="C305" s="373" t="s">
        <v>1489</v>
      </c>
      <c r="D305" s="2479"/>
      <c r="E305" s="2221"/>
      <c r="F305" s="2400"/>
      <c r="G305" s="404"/>
      <c r="H305" s="1504"/>
      <c r="I305" s="655"/>
      <c r="J305" s="575"/>
      <c r="K305" s="1504"/>
      <c r="L305" s="218"/>
      <c r="M305" s="345"/>
      <c r="N305" s="338"/>
      <c r="O305" s="1628"/>
      <c r="P305" s="1628"/>
      <c r="AH305" s="1635">
        <v>0</v>
      </c>
    </row>
    <row s="1639" customFormat="1" customHeight="1" ht="18.75" hidden="1">
      <c r="A306" s="1783" t="s">
        <v>378</v>
      </c>
      <c r="B306" s="1783" t="s">
        <v>379</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444</v>
      </c>
      <c r="M306" s="345"/>
      <c r="N306" s="338"/>
      <c r="O306" s="1628"/>
      <c r="P306" s="1628"/>
      <c r="AH306" s="1635">
        <v>0</v>
      </c>
    </row>
    <row s="1639" customFormat="1" customHeight="1" ht="18.75" hidden="1">
      <c r="A307" s="1783"/>
      <c r="B307" s="1783"/>
      <c r="C307" s="373" t="s">
        <v>1482</v>
      </c>
      <c r="D307" s="2479"/>
      <c r="E307" s="2221"/>
      <c r="F307" s="2400"/>
      <c r="G307" s="2444"/>
      <c r="H307" s="1504"/>
      <c r="I307" s="655" t="s">
        <v>1481</v>
      </c>
      <c r="J307" s="575"/>
      <c r="K307" s="1504"/>
      <c r="L307" s="218"/>
      <c r="M307" s="345"/>
      <c r="N307" s="338"/>
      <c r="O307" s="1628"/>
      <c r="P307" s="1628"/>
      <c r="AH307" s="1635">
        <v>0</v>
      </c>
    </row>
    <row s="1639" customFormat="1" customHeight="1" ht="0.75" hidden="1">
      <c r="A308" s="1783"/>
      <c r="B308" s="1783"/>
      <c r="C308" s="373" t="s">
        <v>1489</v>
      </c>
      <c r="D308" s="2479"/>
      <c r="E308" s="2221"/>
      <c r="F308" s="2400"/>
      <c r="G308" s="404"/>
      <c r="H308" s="1504"/>
      <c r="I308" s="655"/>
      <c r="J308" s="575"/>
      <c r="K308" s="1504"/>
      <c r="L308" s="218"/>
      <c r="M308" s="345"/>
      <c r="N308" s="338"/>
      <c r="O308" s="1628"/>
      <c r="P308" s="1628"/>
      <c r="AH308" s="1635">
        <v>0</v>
      </c>
    </row>
    <row s="1639" customFormat="1" customHeight="1" ht="18.75" hidden="1">
      <c r="A309" s="1783" t="s">
        <v>383</v>
      </c>
      <c r="B309" s="1783" t="s">
        <v>384</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444</v>
      </c>
      <c r="M309" s="345"/>
      <c r="N309" s="338"/>
      <c r="O309" s="1628"/>
      <c r="P309" s="1628"/>
      <c r="AH309" s="1635">
        <v>0</v>
      </c>
    </row>
    <row s="1639" customFormat="1" customHeight="1" ht="18.75" hidden="1">
      <c r="A310" s="1783"/>
      <c r="B310" s="1783"/>
      <c r="C310" s="373" t="s">
        <v>1482</v>
      </c>
      <c r="D310" s="2479"/>
      <c r="E310" s="2221"/>
      <c r="F310" s="2400"/>
      <c r="G310" s="2444"/>
      <c r="H310" s="1504"/>
      <c r="I310" s="655" t="s">
        <v>1481</v>
      </c>
      <c r="J310" s="575"/>
      <c r="K310" s="1504"/>
      <c r="L310" s="218"/>
      <c r="M310" s="345"/>
      <c r="N310" s="338"/>
      <c r="O310" s="1628"/>
      <c r="P310" s="1628"/>
      <c r="AH310" s="1635">
        <v>0</v>
      </c>
    </row>
    <row s="1639" customFormat="1" customHeight="1" ht="0.75" hidden="1">
      <c r="A311" s="1783"/>
      <c r="B311" s="1783"/>
      <c r="C311" s="373" t="s">
        <v>1489</v>
      </c>
      <c r="D311" s="2479"/>
      <c r="E311" s="2221"/>
      <c r="F311" s="2400"/>
      <c r="G311" s="404"/>
      <c r="H311" s="1504"/>
      <c r="I311" s="655"/>
      <c r="J311" s="575"/>
      <c r="K311" s="1504"/>
      <c r="L311" s="218"/>
      <c r="M311" s="345"/>
      <c r="N311" s="338"/>
      <c r="O311" s="1628"/>
      <c r="P311" s="1628"/>
      <c r="AH311" s="1635">
        <v>0</v>
      </c>
    </row>
    <row s="1639" customFormat="1" customHeight="1" ht="18.75" hidden="1">
      <c r="A312" s="1783" t="s">
        <v>388</v>
      </c>
      <c r="B312" s="1783" t="s">
        <v>389</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444</v>
      </c>
      <c r="M312" s="345"/>
      <c r="N312" s="338"/>
      <c r="O312" s="1628"/>
      <c r="P312" s="1628"/>
      <c r="AH312" s="1635">
        <v>0</v>
      </c>
    </row>
    <row s="1639" customFormat="1" customHeight="1" ht="18.75" hidden="1">
      <c r="A313" s="1783"/>
      <c r="B313" s="1783"/>
      <c r="C313" s="373" t="s">
        <v>1482</v>
      </c>
      <c r="D313" s="2479"/>
      <c r="E313" s="2221"/>
      <c r="F313" s="2400"/>
      <c r="G313" s="2444"/>
      <c r="H313" s="1504"/>
      <c r="I313" s="655" t="s">
        <v>1481</v>
      </c>
      <c r="J313" s="575"/>
      <c r="K313" s="1504"/>
      <c r="L313" s="218"/>
      <c r="M313" s="345"/>
      <c r="N313" s="338"/>
      <c r="O313" s="1628"/>
      <c r="P313" s="1628"/>
      <c r="AH313" s="1635">
        <v>0</v>
      </c>
    </row>
    <row s="1639" customFormat="1" customHeight="1" ht="0.75" hidden="1">
      <c r="A314" s="1783"/>
      <c r="B314" s="1783"/>
      <c r="C314" s="373" t="s">
        <v>1489</v>
      </c>
      <c r="D314" s="2479"/>
      <c r="E314" s="2221"/>
      <c r="F314" s="2400"/>
      <c r="G314" s="404"/>
      <c r="H314" s="1504"/>
      <c r="I314" s="655"/>
      <c r="J314" s="575"/>
      <c r="K314" s="1504"/>
      <c r="L314" s="218"/>
      <c r="M314" s="345"/>
      <c r="N314" s="338"/>
      <c r="O314" s="1628"/>
      <c r="P314" s="1628"/>
      <c r="AH314" s="1635">
        <v>0</v>
      </c>
    </row>
    <row s="1639" customFormat="1" customHeight="1" ht="18.75" hidden="1">
      <c r="A315" s="1783" t="s">
        <v>393</v>
      </c>
      <c r="B315" s="1783" t="s">
        <v>394</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444</v>
      </c>
      <c r="M315" s="345"/>
      <c r="N315" s="338"/>
      <c r="O315" s="1628"/>
      <c r="P315" s="1628"/>
      <c r="AH315" s="1635">
        <v>0</v>
      </c>
    </row>
    <row s="1639" customFormat="1" customHeight="1" ht="18.75" hidden="1">
      <c r="A316" s="1783"/>
      <c r="B316" s="1783"/>
      <c r="C316" s="373" t="s">
        <v>1482</v>
      </c>
      <c r="D316" s="2479"/>
      <c r="E316" s="2221"/>
      <c r="F316" s="2400"/>
      <c r="G316" s="2444"/>
      <c r="H316" s="1504"/>
      <c r="I316" s="655" t="s">
        <v>1481</v>
      </c>
      <c r="J316" s="575"/>
      <c r="K316" s="1504"/>
      <c r="L316" s="218"/>
      <c r="M316" s="345"/>
      <c r="N316" s="338"/>
      <c r="O316" s="1628"/>
      <c r="P316" s="1628"/>
      <c r="AH316" s="1635">
        <v>0</v>
      </c>
    </row>
    <row s="1639" customFormat="1" customHeight="1" ht="0.75" hidden="1">
      <c r="A317" s="1783"/>
      <c r="B317" s="1783"/>
      <c r="C317" s="373" t="s">
        <v>1489</v>
      </c>
      <c r="D317" s="2479"/>
      <c r="E317" s="2221"/>
      <c r="F317" s="2400"/>
      <c r="G317" s="404"/>
      <c r="H317" s="1504"/>
      <c r="I317" s="655"/>
      <c r="J317" s="575"/>
      <c r="K317" s="1504"/>
      <c r="L317" s="218"/>
      <c r="M317" s="345"/>
      <c r="N317" s="338"/>
      <c r="O317" s="1628"/>
      <c r="P317" s="1628"/>
      <c r="AH317" s="1635">
        <v>0</v>
      </c>
    </row>
    <row s="1639" customFormat="1" customHeight="1" ht="18.75" hidden="1">
      <c r="A318" s="1783" t="s">
        <v>398</v>
      </c>
      <c r="B318" s="1783" t="s">
        <v>399</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444</v>
      </c>
      <c r="M318" s="345"/>
      <c r="N318" s="338"/>
      <c r="O318" s="1628"/>
      <c r="P318" s="1628"/>
      <c r="AH318" s="1635">
        <v>0</v>
      </c>
    </row>
    <row s="1639" customFormat="1" customHeight="1" ht="18.75" hidden="1">
      <c r="A319" s="1783"/>
      <c r="B319" s="1783"/>
      <c r="C319" s="373" t="s">
        <v>1482</v>
      </c>
      <c r="D319" s="2479"/>
      <c r="E319" s="2221"/>
      <c r="F319" s="2400"/>
      <c r="G319" s="2444"/>
      <c r="H319" s="1504"/>
      <c r="I319" s="655" t="s">
        <v>1481</v>
      </c>
      <c r="J319" s="575"/>
      <c r="K319" s="1504"/>
      <c r="L319" s="218"/>
      <c r="M319" s="345"/>
      <c r="N319" s="338"/>
      <c r="O319" s="1628"/>
      <c r="P319" s="1628"/>
      <c r="AH319" s="1635">
        <v>0</v>
      </c>
    </row>
    <row s="1639" customFormat="1" customHeight="1" ht="0.75" hidden="1">
      <c r="A320" s="1783"/>
      <c r="B320" s="1783"/>
      <c r="C320" s="373" t="s">
        <v>1489</v>
      </c>
      <c r="D320" s="2479"/>
      <c r="E320" s="2221"/>
      <c r="F320" s="2400"/>
      <c r="G320" s="404"/>
      <c r="H320" s="1504"/>
      <c r="I320" s="655"/>
      <c r="J320" s="575"/>
      <c r="K320" s="1504"/>
      <c r="L320" s="218"/>
      <c r="M320" s="345"/>
      <c r="N320" s="338"/>
      <c r="O320" s="1628"/>
      <c r="P320" s="1628"/>
      <c r="AH320" s="1635">
        <v>0</v>
      </c>
    </row>
    <row s="1639" customFormat="1" customHeight="1" ht="18.75" hidden="1">
      <c r="A321" s="1783" t="s">
        <v>403</v>
      </c>
      <c r="B321" s="1783" t="s">
        <v>404</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444</v>
      </c>
      <c r="M321" s="345"/>
      <c r="N321" s="338"/>
      <c r="O321" s="1628"/>
      <c r="P321" s="1628"/>
      <c r="AH321" s="1635">
        <v>0</v>
      </c>
    </row>
    <row s="1639" customFormat="1" customHeight="1" ht="18.75" hidden="1">
      <c r="A322" s="1783"/>
      <c r="B322" s="1783"/>
      <c r="C322" s="373" t="s">
        <v>1482</v>
      </c>
      <c r="D322" s="2479"/>
      <c r="E322" s="2221"/>
      <c r="F322" s="2400"/>
      <c r="G322" s="2444"/>
      <c r="H322" s="1504"/>
      <c r="I322" s="655" t="s">
        <v>1481</v>
      </c>
      <c r="J322" s="575"/>
      <c r="K322" s="1504"/>
      <c r="L322" s="218"/>
      <c r="M322" s="345"/>
      <c r="N322" s="338"/>
      <c r="O322" s="1628"/>
      <c r="P322" s="1628"/>
      <c r="AH322" s="1635">
        <v>0</v>
      </c>
    </row>
    <row s="1639" customFormat="1" customHeight="1" ht="0.75" hidden="1">
      <c r="A323" s="1783"/>
      <c r="B323" s="1783"/>
      <c r="C323" s="373" t="s">
        <v>1489</v>
      </c>
      <c r="D323" s="2479"/>
      <c r="E323" s="2221"/>
      <c r="F323" s="2400"/>
      <c r="G323" s="404"/>
      <c r="H323" s="1504"/>
      <c r="I323" s="655"/>
      <c r="J323" s="575"/>
      <c r="K323" s="1504"/>
      <c r="L323" s="218"/>
      <c r="M323" s="345"/>
      <c r="N323" s="338"/>
      <c r="O323" s="1628"/>
      <c r="P323" s="1628"/>
      <c r="AH323" s="1635">
        <v>0</v>
      </c>
    </row>
    <row s="1639" customFormat="1" customHeight="1" ht="18.75" hidden="1">
      <c r="A324" s="1783" t="s">
        <v>408</v>
      </c>
      <c r="B324" s="1783" t="s">
        <v>409</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444</v>
      </c>
      <c r="M324" s="345"/>
      <c r="N324" s="338"/>
      <c r="O324" s="1628"/>
      <c r="P324" s="1628"/>
      <c r="AH324" s="1635">
        <v>0</v>
      </c>
    </row>
    <row s="1639" customFormat="1" customHeight="1" ht="18.75" hidden="1">
      <c r="A325" s="1783"/>
      <c r="B325" s="1783"/>
      <c r="C325" s="373" t="s">
        <v>1482</v>
      </c>
      <c r="D325" s="2479"/>
      <c r="E325" s="2221"/>
      <c r="F325" s="2400"/>
      <c r="G325" s="2444"/>
      <c r="H325" s="1504"/>
      <c r="I325" s="655" t="s">
        <v>1481</v>
      </c>
      <c r="J325" s="575"/>
      <c r="K325" s="1504"/>
      <c r="L325" s="218"/>
      <c r="M325" s="345"/>
      <c r="N325" s="338"/>
      <c r="O325" s="1628"/>
      <c r="P325" s="1628"/>
      <c r="AH325" s="1635">
        <v>0</v>
      </c>
    </row>
    <row s="1639" customFormat="1" customHeight="1" ht="0.75" hidden="1">
      <c r="A326" s="1783"/>
      <c r="B326" s="1783"/>
      <c r="C326" s="373" t="s">
        <v>1489</v>
      </c>
      <c r="D326" s="2479"/>
      <c r="E326" s="2221"/>
      <c r="F326" s="2400"/>
      <c r="G326" s="404"/>
      <c r="H326" s="1504"/>
      <c r="I326" s="655"/>
      <c r="J326" s="575"/>
      <c r="K326" s="1504"/>
      <c r="L326" s="218"/>
      <c r="M326" s="345"/>
      <c r="N326" s="338"/>
      <c r="O326" s="1628"/>
      <c r="P326" s="1628"/>
      <c r="AH326" s="1635">
        <v>0</v>
      </c>
    </row>
    <row s="1639" customFormat="1" customHeight="1" ht="18.75" hidden="1">
      <c r="A327" s="1783" t="s">
        <v>413</v>
      </c>
      <c r="B327" s="1783" t="s">
        <v>414</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444</v>
      </c>
      <c r="M327" s="345"/>
      <c r="N327" s="338"/>
      <c r="O327" s="1628"/>
      <c r="P327" s="1628"/>
      <c r="AH327" s="1635">
        <v>0</v>
      </c>
    </row>
    <row s="1639" customFormat="1" customHeight="1" ht="18.75" hidden="1">
      <c r="A328" s="1783"/>
      <c r="B328" s="1783"/>
      <c r="C328" s="373" t="s">
        <v>1482</v>
      </c>
      <c r="D328" s="2479"/>
      <c r="E328" s="2221"/>
      <c r="F328" s="2400"/>
      <c r="G328" s="2444"/>
      <c r="H328" s="1504"/>
      <c r="I328" s="655" t="s">
        <v>1481</v>
      </c>
      <c r="J328" s="575"/>
      <c r="K328" s="1504"/>
      <c r="L328" s="218"/>
      <c r="M328" s="345"/>
      <c r="N328" s="338"/>
      <c r="O328" s="1628"/>
      <c r="P328" s="1628"/>
      <c r="AH328" s="1635">
        <v>0</v>
      </c>
    </row>
    <row s="1639" customFormat="1" customHeight="1" ht="1.05">
      <c r="A329" s="1783"/>
      <c r="B329" s="1783"/>
      <c r="C329" s="373" t="s">
        <v>1489</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0698-B7CB-DEF8-5316-11F1D8E882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103</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КГУП "Примтеплоэнерго"</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438</v>
      </c>
      <c r="E8" s="2226"/>
      <c r="F8" s="2226"/>
      <c r="G8" s="2226"/>
      <c r="H8" s="2406" t="s">
        <v>439</v>
      </c>
      <c r="R8" s="378">
        <v>14</v>
      </c>
    </row>
    <row customHeight="1" ht="24">
      <c r="C9" s="380"/>
      <c r="D9" s="390" t="s">
        <v>87</v>
      </c>
      <c r="E9" s="112" t="s">
        <v>440</v>
      </c>
      <c r="F9" s="112" t="s">
        <v>441</v>
      </c>
      <c r="G9" s="112" t="s">
        <v>528</v>
      </c>
      <c r="H9" s="2406"/>
      <c r="R9" s="378">
        <v>23</v>
      </c>
    </row>
    <row customHeight="1" ht="14.699999999999998">
      <c r="A10" s="347"/>
      <c r="C10" s="380"/>
      <c r="D10" s="151" t="s">
        <v>105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86" t="s">
        <v>1490</v>
      </c>
      <c r="R10" s="378">
        <v>14</v>
      </c>
    </row>
    <row customHeight="1" ht="14.699999999999998">
      <c r="A11" s="347"/>
      <c r="C11" s="380"/>
      <c r="D11" s="151"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460</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F5058-EBC8-A678-3972-BB2B4D1C43B8}" mc:Ignorable="x14ac xr xr2 xr3">
  <sheetPr>
    <tabColor theme="2" tint="-0.1"/>
  </sheetPr>
  <dimension ref="A1:CT30"/>
  <sheetViews>
    <sheetView showGridLines="0" zoomScale="90" workbookViewId="0">
      <pane xSplit="8" ySplit="18" topLeftCell="CM19" activePane="bottomRight" state="frozen"/>
      <selection pane="bottomLeft" activeCell="A19" sqref="A19"/>
      <selection pane="topRight" activeCell="I1" sqref="I1"/>
      <selection pane="bottomRight" activeCell="CM8" sqref="C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639" width="25.7109375" customWidth="1"/>
    <col min="40" max="40" style="1639" width="34.00390625" customWidth="1"/>
    <col min="41" max="41" style="1639" width="25.7109375" customWidth="1"/>
    <col min="42" max="42" style="1639" width="34.00390625" customWidth="1"/>
    <col min="43" max="43" style="1639" width="25.7109375" customWidth="1"/>
    <col min="44" max="44" style="1639" width="34.00390625" customWidth="1"/>
    <col min="45" max="45" style="1639" width="25.7109375" customWidth="1"/>
    <col min="46" max="46" style="1639" width="34.00390625" customWidth="1"/>
    <col min="47" max="47" style="1639" width="25.7109375" customWidth="1"/>
    <col min="48" max="48" style="1639" width="34.00390625" customWidth="1"/>
    <col min="49" max="49" style="1639" width="25.7109375" customWidth="1"/>
    <col min="50" max="50" style="1639" width="34.00390625" customWidth="1"/>
    <col min="51" max="51" style="1639" width="25.7109375" customWidth="1"/>
    <col min="52" max="52" style="1639" width="34.00390625" customWidth="1"/>
    <col min="53" max="53" style="1639" width="25.7109375" customWidth="1"/>
    <col min="54" max="54" style="1639" width="34.00390625" customWidth="1"/>
    <col min="55" max="55" style="1639" width="25.7109375" customWidth="1"/>
    <col min="56" max="56" style="1639" width="34.00390625" customWidth="1"/>
    <col min="57" max="57" style="1639" width="25.7109375" customWidth="1"/>
    <col min="58" max="58" style="1639" width="34.00390625" customWidth="1"/>
    <col min="59" max="59" style="1639" width="25.7109375" customWidth="1"/>
    <col min="60" max="60" style="1639" width="34.00390625" customWidth="1"/>
    <col min="61" max="61" style="1639" width="25.7109375" customWidth="1"/>
    <col min="62" max="62" style="1639" width="34.00390625" customWidth="1"/>
    <col min="63" max="63" style="1639" width="25.7109375" customWidth="1"/>
    <col min="64" max="64" style="1639" width="34.00390625" customWidth="1"/>
    <col min="65" max="65" style="1639" width="25.7109375" customWidth="1"/>
    <col min="66" max="66" style="1639" width="34.00390625" customWidth="1"/>
    <col min="67" max="67" style="1639" width="25.7109375" customWidth="1"/>
    <col min="68" max="68" style="1639" width="34.00390625" customWidth="1"/>
    <col min="69" max="69" style="1639" width="25.7109375" customWidth="1"/>
    <col min="70" max="70" style="1639" width="34.00390625" customWidth="1"/>
    <col min="71" max="71" style="1639" width="25.7109375" customWidth="1"/>
    <col min="72" max="72" style="1639" width="34.00390625" customWidth="1"/>
    <col min="73" max="73" style="1639" width="25.7109375" customWidth="1"/>
    <col min="74" max="74" style="1639" width="34.00390625" customWidth="1"/>
    <col min="75" max="75" style="1639" width="25.7109375" customWidth="1"/>
    <col min="76" max="76" style="1639" width="34.00390625" customWidth="1"/>
    <col min="77" max="77" style="1639" width="25.7109375" customWidth="1"/>
    <col min="78" max="78" style="1639" width="34.00390625" customWidth="1"/>
    <col min="79" max="79" style="1639" width="25.7109375" customWidth="1"/>
    <col min="80" max="80" style="1639" width="34.00390625" customWidth="1"/>
    <col min="81" max="81" style="1639" width="25.7109375" customWidth="1"/>
    <col min="82" max="82" style="1639" width="34.00390625" customWidth="1"/>
    <col min="83" max="83" style="1639" width="25.7109375" customWidth="1"/>
    <col min="84" max="84" style="1639" width="34.00390625" customWidth="1"/>
    <col min="85" max="85" style="1639" width="25.7109375" customWidth="1"/>
    <col min="86" max="86" style="1639" width="34.00390625" customWidth="1"/>
    <col min="87" max="87" style="1370" width="50.00390625" customWidth="1"/>
    <col min="88" max="96" style="1639" width="10.00390625" customWidth="1"/>
    <col min="97" max="97" style="679" width="10.00390625" customWidth="1"/>
    <col min="98" max="98"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t="s">
        <v>89</v>
      </c>
      <c r="BT1" s="1370"/>
      <c r="BU1" s="1370">
        <v>4</v>
      </c>
      <c r="BV1" s="1370"/>
      <c r="BW1" s="1370" t="s">
        <v>89</v>
      </c>
      <c r="BX1" s="1370"/>
      <c r="BY1" s="1370" t="s">
        <v>89</v>
      </c>
      <c r="BZ1" s="1370"/>
      <c r="CA1" s="1370">
        <v>4</v>
      </c>
      <c r="CB1" s="1370"/>
      <c r="CC1" s="1370">
        <v>4</v>
      </c>
      <c r="CD1" s="1370"/>
      <c r="CE1" s="1370">
        <v>4</v>
      </c>
      <c r="CF1" s="1370"/>
      <c r="CG1" s="1370">
        <v>4</v>
      </c>
      <c r="CH1" s="1370"/>
      <c r="CS1" s="424"/>
      <c r="CT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S2" s="678"/>
      <c r="CT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S3" s="424"/>
      <c r="CT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T4" s="509">
        <v>15</v>
      </c>
    </row>
    <row customHeight="1" ht="66">
      <c r="C5" s="180"/>
      <c r="D5" s="2254" t="s">
        <v>1491</v>
      </c>
      <c r="E5" s="2254"/>
      <c r="F5" s="2254"/>
      <c r="G5" s="2254"/>
      <c r="H5" s="2254"/>
      <c r="I5" s="2254"/>
      <c r="J5" s="2254"/>
      <c r="K5" s="2265"/>
      <c r="L5" s="2265"/>
      <c r="M5" s="2265"/>
      <c r="N5" s="2265"/>
      <c r="O5" s="2265"/>
      <c r="P5" s="2265"/>
      <c r="Q5" s="2265"/>
      <c r="R5" s="2265"/>
      <c r="S5" s="2265"/>
      <c r="T5" s="2265"/>
      <c r="U5" s="2265"/>
      <c r="V5" s="2265"/>
      <c r="W5" s="2265"/>
      <c r="X5" s="2265"/>
      <c r="Y5" s="2265"/>
      <c r="Z5" s="2265"/>
      <c r="AA5" s="2265"/>
      <c r="AB5" s="2265"/>
      <c r="AC5" s="2265"/>
      <c r="AD5" s="2265"/>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5"/>
      <c r="BC5" s="2265"/>
      <c r="BD5" s="2265"/>
      <c r="BE5" s="2265"/>
      <c r="BF5" s="2265"/>
      <c r="BG5" s="2265"/>
      <c r="BH5" s="2265"/>
      <c r="BI5" s="2265"/>
      <c r="BJ5" s="2265"/>
      <c r="BK5" s="2265"/>
      <c r="BL5" s="2265"/>
      <c r="BM5" s="2265"/>
      <c r="BN5" s="2265"/>
      <c r="BO5" s="2265"/>
      <c r="BP5" s="2265"/>
      <c r="BQ5" s="2265"/>
      <c r="BR5" s="2265"/>
      <c r="BS5" s="2265"/>
      <c r="BT5" s="2265"/>
      <c r="BU5" s="2265"/>
      <c r="BV5" s="2265"/>
      <c r="BW5" s="2265"/>
      <c r="BX5" s="2265"/>
      <c r="BY5" s="2265"/>
      <c r="BZ5" s="2265"/>
      <c r="CA5" s="2265"/>
      <c r="CB5" s="2265"/>
      <c r="CC5" s="2265"/>
      <c r="CD5" s="2265"/>
      <c r="CE5" s="2265"/>
      <c r="CF5" s="2265"/>
      <c r="CG5" s="2265"/>
      <c r="CH5" s="2265"/>
      <c r="CT5" s="509">
        <v>63</v>
      </c>
    </row>
    <row customHeight="1" ht="15.75">
      <c r="C6" s="180"/>
      <c r="D6" s="2193" t="str">
        <f>IF(org=0,"Не определено",org)</f>
        <v>КГУП "Примтеплоэнерго"</v>
      </c>
      <c r="E6" s="2193"/>
      <c r="F6" s="2193"/>
      <c r="G6" s="2193"/>
      <c r="H6" s="2193"/>
      <c r="I6" s="2193"/>
      <c r="J6" s="2193"/>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c r="BP6" s="2266"/>
      <c r="BQ6" s="2266"/>
      <c r="BR6" s="2266"/>
      <c r="BS6" s="2266"/>
      <c r="BT6" s="2266"/>
      <c r="BU6" s="2266"/>
      <c r="BV6" s="2266"/>
      <c r="BW6" s="2266"/>
      <c r="BX6" s="2266"/>
      <c r="BY6" s="2266"/>
      <c r="BZ6" s="2266"/>
      <c r="CA6" s="2266"/>
      <c r="CB6" s="2266"/>
      <c r="CC6" s="2266"/>
      <c r="CD6" s="2266"/>
      <c r="CE6" s="2266"/>
      <c r="CF6" s="2266"/>
      <c r="CG6" s="2266"/>
      <c r="CH6" s="2266"/>
      <c r="CI6" s="541"/>
      <c r="CT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M7" s="1370" t="s">
        <v>22</v>
      </c>
      <c r="AN7" s="1639"/>
      <c r="AO7" s="1370" t="s">
        <v>22</v>
      </c>
      <c r="AP7" s="1639"/>
      <c r="AQ7" s="1370" t="s">
        <v>22</v>
      </c>
      <c r="AR7" s="1639"/>
      <c r="AS7" s="1370" t="s">
        <v>22</v>
      </c>
      <c r="AT7" s="1639"/>
      <c r="AU7" s="1370" t="s">
        <v>22</v>
      </c>
      <c r="AV7" s="1639"/>
      <c r="AW7" s="1370" t="s">
        <v>22</v>
      </c>
      <c r="AX7" s="1639"/>
      <c r="AY7" s="1370" t="s">
        <v>22</v>
      </c>
      <c r="AZ7" s="1639"/>
      <c r="BA7" s="1370" t="s">
        <v>22</v>
      </c>
      <c r="BB7" s="1639"/>
      <c r="BC7" s="1370" t="s">
        <v>22</v>
      </c>
      <c r="BD7" s="1639"/>
      <c r="BE7" s="1370" t="s">
        <v>22</v>
      </c>
      <c r="BF7" s="1639"/>
      <c r="BG7" s="1370" t="s">
        <v>22</v>
      </c>
      <c r="BH7" s="1639"/>
      <c r="BI7" s="1370" t="s">
        <v>22</v>
      </c>
      <c r="BJ7" s="1639"/>
      <c r="BK7" s="1370" t="s">
        <v>22</v>
      </c>
      <c r="BL7" s="1639"/>
      <c r="BM7" s="1370" t="s">
        <v>22</v>
      </c>
      <c r="BN7" s="1639"/>
      <c r="BO7" s="1370" t="s">
        <v>22</v>
      </c>
      <c r="BP7" s="1639"/>
      <c r="BQ7" s="1370" t="s">
        <v>22</v>
      </c>
      <c r="BR7" s="1639"/>
      <c r="BS7" s="1370" t="s">
        <v>22</v>
      </c>
      <c r="BT7" s="1639"/>
      <c r="BU7" s="1370" t="s">
        <v>22</v>
      </c>
      <c r="BV7" s="1639"/>
      <c r="BW7" s="1370" t="s">
        <v>22</v>
      </c>
      <c r="BX7" s="1639"/>
      <c r="BY7" s="1370" t="s">
        <v>22</v>
      </c>
      <c r="BZ7" s="1639"/>
      <c r="CA7" s="1370" t="s">
        <v>22</v>
      </c>
      <c r="CB7" s="1639"/>
      <c r="CC7" s="1370" t="s">
        <v>22</v>
      </c>
      <c r="CD7" s="1639"/>
      <c r="CE7" s="1370" t="s">
        <v>22</v>
      </c>
      <c r="CF7" s="1639"/>
      <c r="CG7" s="1370" t="s">
        <v>22</v>
      </c>
      <c r="CH7" s="1639"/>
      <c r="CT7" s="509">
        <v>15</v>
      </c>
    </row>
    <row s="1639" customFormat="1" customHeight="1" ht="1.05">
      <c r="A8" s="763"/>
      <c r="C8" s="180"/>
      <c r="D8" s="513"/>
      <c r="E8" s="513"/>
      <c r="F8" s="513"/>
      <c r="G8" s="541"/>
      <c r="H8" s="756"/>
      <c r="I8" s="541" t="s">
        <v>182</v>
      </c>
      <c r="J8" s="756"/>
      <c r="K8" s="1370" t="s">
        <v>238</v>
      </c>
      <c r="L8" s="756"/>
      <c r="M8" s="1370" t="s">
        <v>250</v>
      </c>
      <c r="N8" s="756"/>
      <c r="O8" s="1370" t="s">
        <v>253</v>
      </c>
      <c r="P8" s="756"/>
      <c r="Q8" s="1370" t="s">
        <v>186</v>
      </c>
      <c r="R8" s="756"/>
      <c r="S8" s="1370" t="s">
        <v>188</v>
      </c>
      <c r="T8" s="756"/>
      <c r="U8" s="1370" t="s">
        <v>190</v>
      </c>
      <c r="V8" s="756"/>
      <c r="W8" s="1370" t="s">
        <v>192</v>
      </c>
      <c r="X8" s="756"/>
      <c r="Y8" s="1370" t="s">
        <v>194</v>
      </c>
      <c r="Z8" s="756"/>
      <c r="AA8" s="1370" t="s">
        <v>196</v>
      </c>
      <c r="AB8" s="756"/>
      <c r="AC8" s="1370" t="s">
        <v>198</v>
      </c>
      <c r="AD8" s="756"/>
      <c r="AE8" s="1370" t="s">
        <v>201</v>
      </c>
      <c r="AF8" s="756"/>
      <c r="AG8" s="1370" t="s">
        <v>203</v>
      </c>
      <c r="AH8" s="756"/>
      <c r="AI8" s="1370" t="s">
        <v>207</v>
      </c>
      <c r="AJ8" s="756"/>
      <c r="AK8" s="1370" t="s">
        <v>211</v>
      </c>
      <c r="AL8" s="756"/>
      <c r="AM8" s="1370" t="s">
        <v>213</v>
      </c>
      <c r="AN8" s="756"/>
      <c r="AO8" s="1370" t="s">
        <v>215</v>
      </c>
      <c r="AP8" s="756"/>
      <c r="AQ8" s="1370" t="s">
        <v>217</v>
      </c>
      <c r="AR8" s="756"/>
      <c r="AS8" s="1370" t="s">
        <v>225</v>
      </c>
      <c r="AT8" s="756"/>
      <c r="AU8" s="1370" t="s">
        <v>229</v>
      </c>
      <c r="AV8" s="756"/>
      <c r="AW8" s="1370" t="s">
        <v>231</v>
      </c>
      <c r="AX8" s="756"/>
      <c r="AY8" s="1370" t="s">
        <v>235</v>
      </c>
      <c r="AZ8" s="756"/>
      <c r="BA8" s="1370" t="s">
        <v>205</v>
      </c>
      <c r="BB8" s="756"/>
      <c r="BC8" s="1370" t="s">
        <v>209</v>
      </c>
      <c r="BD8" s="756"/>
      <c r="BE8" s="1370" t="s">
        <v>219</v>
      </c>
      <c r="BF8" s="756"/>
      <c r="BG8" s="1370" t="s">
        <v>221</v>
      </c>
      <c r="BH8" s="756"/>
      <c r="BI8" s="1370" t="s">
        <v>223</v>
      </c>
      <c r="BJ8" s="756"/>
      <c r="BK8" s="1370" t="s">
        <v>227</v>
      </c>
      <c r="BL8" s="756"/>
      <c r="BM8" s="1370" t="s">
        <v>233</v>
      </c>
      <c r="BN8" s="756"/>
      <c r="BO8" s="1370" t="s">
        <v>240</v>
      </c>
      <c r="BP8" s="756"/>
      <c r="BQ8" s="1370" t="s">
        <v>242</v>
      </c>
      <c r="BR8" s="756"/>
      <c r="BS8" s="1370" t="s">
        <v>244</v>
      </c>
      <c r="BT8" s="756"/>
      <c r="BU8" s="1370" t="s">
        <v>246</v>
      </c>
      <c r="BV8" s="756"/>
      <c r="BW8" s="1370" t="s">
        <v>248</v>
      </c>
      <c r="BX8" s="756"/>
      <c r="BY8" s="1370" t="s">
        <v>256</v>
      </c>
      <c r="BZ8" s="756"/>
      <c r="CA8" s="1370" t="s">
        <v>258</v>
      </c>
      <c r="CB8" s="756"/>
      <c r="CC8" s="1370" t="s">
        <v>260</v>
      </c>
      <c r="CD8" s="756"/>
      <c r="CE8" s="1370" t="s">
        <v>262</v>
      </c>
      <c r="CF8" s="756"/>
      <c r="CG8" s="1370" t="s">
        <v>264</v>
      </c>
      <c r="CH8" s="756"/>
      <c r="CI8" s="421"/>
      <c r="CS8" s="679"/>
      <c r="CT8" s="762">
        <v>1</v>
      </c>
    </row>
    <row customHeight="1" ht="15.75">
      <c r="C9" s="180"/>
      <c r="D9" s="715"/>
      <c r="E9" s="2384" t="s">
        <v>173</v>
      </c>
      <c r="F9" s="2385"/>
      <c r="G9" s="2412" t="str">
        <f>IF(G8="","",INDEX(DIFFERENTIATION_UNMERGE_VD,MATCH(G8,DIFFERENTIATION_ID_DIFF,0)))</f>
        <v/>
      </c>
      <c r="H9" s="2413"/>
      <c r="I9" s="2412" t="str">
        <f>IF(I8="","",INDEX(DIFFERENTIATION_UNMERGE_VD,MATCH(I8,DIFFERENTIATION_ID_DIFF,0)))</f>
        <v>Холодное водоснабжение. Питьевая вода</v>
      </c>
      <c r="J9" s="2413"/>
      <c r="K9" s="2412" t="str">
        <f>IF(K8="","",INDEX(DIFFERENTIATION_UNMERGE_VD,MATCH(K8,DIFFERENTIATION_ID_DIFF,0)))</f>
        <v>Подключение (технологическое присоединение) к централизованной системе водоснабжения</v>
      </c>
      <c r="L9" s="2413"/>
      <c r="M9" s="2412" t="str">
        <f>IF(M8="","",INDEX(DIFFERENTIATION_UNMERGE_VD,MATCH(M8,DIFFERENTIATION_ID_DIFF,0)))</f>
        <v>Холодное водоснабжение. Техническая вода</v>
      </c>
      <c r="N9" s="2413"/>
      <c r="O9" s="2412" t="str">
        <f>IF(O8="","",INDEX(DIFFERENTIATION_UNMERGE_VD,MATCH(O8,DIFFERENTIATION_ID_DIFF,0)))</f>
        <v>Холодное водоснабжение. Подвозная вода</v>
      </c>
      <c r="P9" s="2413"/>
      <c r="Q9" s="2412" t="str">
        <f>IF(Q8="","",INDEX(DIFFERENTIATION_UNMERGE_VD,MATCH(Q8,DIFFERENTIATION_ID_DIFF,0)))</f>
        <v>Холодное водоснабжение. Питьевая вода</v>
      </c>
      <c r="R9" s="2413"/>
      <c r="S9" s="2412" t="str">
        <f>IF(S8="","",INDEX(DIFFERENTIATION_UNMERGE_VD,MATCH(S8,DIFFERENTIATION_ID_DIFF,0)))</f>
        <v>Холодное водоснабжение. Питьевая вода</v>
      </c>
      <c r="T9" s="2413"/>
      <c r="U9" s="2412" t="str">
        <f>IF(U8="","",INDEX(DIFFERENTIATION_UNMERGE_VD,MATCH(U8,DIFFERENTIATION_ID_DIFF,0)))</f>
        <v>Холодное водоснабжение. Питьевая вода</v>
      </c>
      <c r="V9" s="2413"/>
      <c r="W9" s="2412" t="str">
        <f>IF(W8="","",INDEX(DIFFERENTIATION_UNMERGE_VD,MATCH(W8,DIFFERENTIATION_ID_DIFF,0)))</f>
        <v>Холодное водоснабжение. Питьевая вода</v>
      </c>
      <c r="X9" s="2413"/>
      <c r="Y9" s="2412" t="str">
        <f>IF(Y8="","",INDEX(DIFFERENTIATION_UNMERGE_VD,MATCH(Y8,DIFFERENTIATION_ID_DIFF,0)))</f>
        <v>Холодное водоснабжение. Питьевая вода</v>
      </c>
      <c r="Z9" s="2413"/>
      <c r="AA9" s="2412" t="str">
        <f>IF(AA8="","",INDEX(DIFFERENTIATION_UNMERGE_VD,MATCH(AA8,DIFFERENTIATION_ID_DIFF,0)))</f>
        <v>Холодное водоснабжение. Питьевая вода</v>
      </c>
      <c r="AB9" s="2413"/>
      <c r="AC9" s="2412" t="str">
        <f>IF(AC8="","",INDEX(DIFFERENTIATION_UNMERGE_VD,MATCH(AC8,DIFFERENTIATION_ID_DIFF,0)))</f>
        <v>Холодное водоснабжение. Питьевая вода</v>
      </c>
      <c r="AD9" s="2413"/>
      <c r="AE9" s="2412" t="str">
        <f>IF(AE8="","",INDEX(DIFFERENTIATION_UNMERGE_VD,MATCH(AE8,DIFFERENTIATION_ID_DIFF,0)))</f>
        <v>Холодное водоснабжение. Питьевая вода</v>
      </c>
      <c r="AF9" s="2413"/>
      <c r="AG9" s="2412" t="str">
        <f>IF(AG8="","",INDEX(DIFFERENTIATION_UNMERGE_VD,MATCH(AG8,DIFFERENTIATION_ID_DIFF,0)))</f>
        <v>Холодное водоснабжение. Питьевая вода</v>
      </c>
      <c r="AH9" s="2413"/>
      <c r="AI9" s="2412" t="str">
        <f>IF(AI8="","",INDEX(DIFFERENTIATION_UNMERGE_VD,MATCH(AI8,DIFFERENTIATION_ID_DIFF,0)))</f>
        <v>Холодное водоснабжение. Питьевая вода</v>
      </c>
      <c r="AJ9" s="2413"/>
      <c r="AK9" s="2412" t="str">
        <f>IF(AK8="","",INDEX(DIFFERENTIATION_UNMERGE_VD,MATCH(AK8,DIFFERENTIATION_ID_DIFF,0)))</f>
        <v>Холодное водоснабжение. Питьевая вода</v>
      </c>
      <c r="AL9" s="2413"/>
      <c r="AM9" s="2412" t="str">
        <f>IF(AM8="","",INDEX(DIFFERENTIATION_UNMERGE_VD,MATCH(AM8,DIFFERENTIATION_ID_DIFF,0)))</f>
        <v>Холодное водоснабжение. Питьевая вода</v>
      </c>
      <c r="AN9" s="2413"/>
      <c r="AO9" s="2412" t="str">
        <f>IF(AO8="","",INDEX(DIFFERENTIATION_UNMERGE_VD,MATCH(AO8,DIFFERENTIATION_ID_DIFF,0)))</f>
        <v>Холодное водоснабжение. Питьевая вода</v>
      </c>
      <c r="AP9" s="2413"/>
      <c r="AQ9" s="2412" t="str">
        <f>IF(AQ8="","",INDEX(DIFFERENTIATION_UNMERGE_VD,MATCH(AQ8,DIFFERENTIATION_ID_DIFF,0)))</f>
        <v>Холодное водоснабжение. Питьевая вода</v>
      </c>
      <c r="AR9" s="2413"/>
      <c r="AS9" s="2412" t="str">
        <f>IF(AS8="","",INDEX(DIFFERENTIATION_UNMERGE_VD,MATCH(AS8,DIFFERENTIATION_ID_DIFF,0)))</f>
        <v>Холодное водоснабжение. Питьевая вода</v>
      </c>
      <c r="AT9" s="2413"/>
      <c r="AU9" s="2412" t="str">
        <f>IF(AU8="","",INDEX(DIFFERENTIATION_UNMERGE_VD,MATCH(AU8,DIFFERENTIATION_ID_DIFF,0)))</f>
        <v>Холодное водоснабжение. Питьевая вода</v>
      </c>
      <c r="AV9" s="2413"/>
      <c r="AW9" s="2412" t="str">
        <f>IF(AW8="","",INDEX(DIFFERENTIATION_UNMERGE_VD,MATCH(AW8,DIFFERENTIATION_ID_DIFF,0)))</f>
        <v>Холодное водоснабжение. Питьевая вода</v>
      </c>
      <c r="AX9" s="2413"/>
      <c r="AY9" s="2412" t="str">
        <f>IF(AY8="","",INDEX(DIFFERENTIATION_UNMERGE_VD,MATCH(AY8,DIFFERENTIATION_ID_DIFF,0)))</f>
        <v>Холодное водоснабжение. Питьевая вода</v>
      </c>
      <c r="AZ9" s="2413"/>
      <c r="BA9" s="2412" t="str">
        <f>IF(BA8="","",INDEX(DIFFERENTIATION_UNMERGE_VD,MATCH(BA8,DIFFERENTIATION_ID_DIFF,0)))</f>
        <v>Холодное водоснабжение. Питьевая вода</v>
      </c>
      <c r="BB9" s="2413"/>
      <c r="BC9" s="2412" t="str">
        <f>IF(BC8="","",INDEX(DIFFERENTIATION_UNMERGE_VD,MATCH(BC8,DIFFERENTIATION_ID_DIFF,0)))</f>
        <v>Холодное водоснабжение. Питьевая вода</v>
      </c>
      <c r="BD9" s="2413"/>
      <c r="BE9" s="2412" t="str">
        <f>IF(BE8="","",INDEX(DIFFERENTIATION_UNMERGE_VD,MATCH(BE8,DIFFERENTIATION_ID_DIFF,0)))</f>
        <v>Холодное водоснабжение. Питьевая вода</v>
      </c>
      <c r="BF9" s="2413"/>
      <c r="BG9" s="2412" t="str">
        <f>IF(BG8="","",INDEX(DIFFERENTIATION_UNMERGE_VD,MATCH(BG8,DIFFERENTIATION_ID_DIFF,0)))</f>
        <v>Холодное водоснабжение. Питьевая вода</v>
      </c>
      <c r="BH9" s="2413"/>
      <c r="BI9" s="2412" t="str">
        <f>IF(BI8="","",INDEX(DIFFERENTIATION_UNMERGE_VD,MATCH(BI8,DIFFERENTIATION_ID_DIFF,0)))</f>
        <v>Холодное водоснабжение. Питьевая вода</v>
      </c>
      <c r="BJ9" s="2413"/>
      <c r="BK9" s="2412" t="str">
        <f>IF(BK8="","",INDEX(DIFFERENTIATION_UNMERGE_VD,MATCH(BK8,DIFFERENTIATION_ID_DIFF,0)))</f>
        <v>Холодное водоснабжение. Питьевая вода</v>
      </c>
      <c r="BL9" s="2413"/>
      <c r="BM9" s="2412" t="str">
        <f>IF(BM8="","",INDEX(DIFFERENTIATION_UNMERGE_VD,MATCH(BM8,DIFFERENTIATION_ID_DIFF,0)))</f>
        <v>Холодное водоснабжение. Питьевая вода</v>
      </c>
      <c r="BN9" s="2413"/>
      <c r="BO9" s="2412" t="str">
        <f>IF(BO8="","",INDEX(DIFFERENTIATION_UNMERGE_VD,MATCH(BO8,DIFFERENTIATION_ID_DIFF,0)))</f>
        <v>Подключение (технологическое присоединение) к централизованной системе водоснабжения</v>
      </c>
      <c r="BP9" s="2413"/>
      <c r="BQ9" s="2412" t="str">
        <f>IF(BQ8="","",INDEX(DIFFERENTIATION_UNMERGE_VD,MATCH(BQ8,DIFFERENTIATION_ID_DIFF,0)))</f>
        <v>Подключение (технологическое присоединение) к централизованной системе водоснабжения</v>
      </c>
      <c r="BR9" s="2413"/>
      <c r="BS9" s="2412" t="str">
        <f>IF(BS8="","",INDEX(DIFFERENTIATION_UNMERGE_VD,MATCH(BS8,DIFFERENTIATION_ID_DIFF,0)))</f>
        <v>Подключение (технологическое присоединение) к централизованной системе водоснабжения</v>
      </c>
      <c r="BT9" s="2413"/>
      <c r="BU9" s="2412" t="str">
        <f>IF(BU8="","",INDEX(DIFFERENTIATION_UNMERGE_VD,MATCH(BU8,DIFFERENTIATION_ID_DIFF,0)))</f>
        <v>Подключение (технологическое присоединение) к централизованной системе водоснабжения</v>
      </c>
      <c r="BV9" s="2413"/>
      <c r="BW9" s="2412" t="str">
        <f>IF(BW8="","",INDEX(DIFFERENTIATION_UNMERGE_VD,MATCH(BW8,DIFFERENTIATION_ID_DIFF,0)))</f>
        <v>Подключение (технологическое присоединение) к централизованной системе водоснабжения</v>
      </c>
      <c r="BX9" s="2413"/>
      <c r="BY9" s="2412" t="str">
        <f>IF(BY8="","",INDEX(DIFFERENTIATION_UNMERGE_VD,MATCH(BY8,DIFFERENTIATION_ID_DIFF,0)))</f>
        <v>Холодное водоснабжение. Подвозная вода</v>
      </c>
      <c r="BZ9" s="2413"/>
      <c r="CA9" s="2412" t="str">
        <f>IF(CA8="","",INDEX(DIFFERENTIATION_UNMERGE_VD,MATCH(CA8,DIFFERENTIATION_ID_DIFF,0)))</f>
        <v>Холодное водоснабжение. Подвозная вода</v>
      </c>
      <c r="CB9" s="2413"/>
      <c r="CC9" s="2412" t="str">
        <f>IF(CC8="","",INDEX(DIFFERENTIATION_UNMERGE_VD,MATCH(CC8,DIFFERENTIATION_ID_DIFF,0)))</f>
        <v>Холодное водоснабжение. Подвозная вода</v>
      </c>
      <c r="CD9" s="2413"/>
      <c r="CE9" s="2412" t="str">
        <f>IF(CE8="","",INDEX(DIFFERENTIATION_UNMERGE_VD,MATCH(CE8,DIFFERENTIATION_ID_DIFF,0)))</f>
        <v>Холодное водоснабжение. Подвозная вода</v>
      </c>
      <c r="CF9" s="2413"/>
      <c r="CG9" s="2412" t="str">
        <f>IF(CG8="","",INDEX(DIFFERENTIATION_UNMERGE_VD,MATCH(CG8,DIFFERENTIATION_ID_DIFF,0)))</f>
        <v>Холодное водоснабжение. Подвозная вода</v>
      </c>
      <c r="CH9" s="2413"/>
      <c r="CI9" s="2192" t="s">
        <v>439</v>
      </c>
      <c r="CT9" s="509">
        <v>15</v>
      </c>
    </row>
    <row s="1639" customFormat="1" customHeight="1" ht="15.75">
      <c r="A10" s="763"/>
      <c r="C10" s="180"/>
      <c r="D10" s="715"/>
      <c r="E10" s="2384" t="s">
        <v>702</v>
      </c>
      <c r="F10" s="2385"/>
      <c r="G10" s="2412" t="str">
        <f>IF(G8="","",INDEX(DIFFERENTIATION_UNMERGE_AREA,MATCH(G8,DIFFERENTIATION_ID_DIFF,0)))</f>
        <v/>
      </c>
      <c r="H10" s="2413"/>
      <c r="I10" s="2412" t="str">
        <f>IF(I8="","",INDEX(DIFFERENTIATION_UNMERGE_AREA,MATCH(I8,DIFFERENTIATION_ID_DIFF,0)))</f>
        <v>Территория 1</v>
      </c>
      <c r="J10" s="2413"/>
      <c r="K10" s="2412" t="str">
        <f>IF(K8="","",INDEX(DIFFERENTIATION_UNMERGE_AREA,MATCH(K8,DIFFERENTIATION_ID_DIFF,0)))</f>
        <v>Территория 8</v>
      </c>
      <c r="L10" s="2413"/>
      <c r="M10" s="2412" t="str">
        <f>IF(M8="","",INDEX(DIFFERENTIATION_UNMERGE_AREA,MATCH(M8,DIFFERENTIATION_ID_DIFF,0)))</f>
        <v>Территория 9</v>
      </c>
      <c r="N10" s="2413"/>
      <c r="O10" s="2412" t="str">
        <f>IF(O8="","",INDEX(DIFFERENTIATION_UNMERGE_AREA,MATCH(O8,DIFFERENTIATION_ID_DIFF,0)))</f>
        <v>Территория 2</v>
      </c>
      <c r="P10" s="2413"/>
      <c r="Q10" s="2412" t="str">
        <f>IF(Q8="","",INDEX(DIFFERENTIATION_UNMERGE_AREA,MATCH(Q8,DIFFERENTIATION_ID_DIFF,0)))</f>
        <v>Территория 1</v>
      </c>
      <c r="R10" s="2413"/>
      <c r="S10" s="2412" t="str">
        <f>IF(S8="","",INDEX(DIFFERENTIATION_UNMERGE_AREA,MATCH(S8,DIFFERENTIATION_ID_DIFF,0)))</f>
        <v>Территория 1</v>
      </c>
      <c r="T10" s="2413"/>
      <c r="U10" s="2412" t="str">
        <f>IF(U8="","",INDEX(DIFFERENTIATION_UNMERGE_AREA,MATCH(U8,DIFFERENTIATION_ID_DIFF,0)))</f>
        <v>Территория 1</v>
      </c>
      <c r="V10" s="2413"/>
      <c r="W10" s="2412" t="str">
        <f>IF(W8="","",INDEX(DIFFERENTIATION_UNMERGE_AREA,MATCH(W8,DIFFERENTIATION_ID_DIFF,0)))</f>
        <v>Территория 1</v>
      </c>
      <c r="X10" s="2413"/>
      <c r="Y10" s="2412" t="str">
        <f>IF(Y8="","",INDEX(DIFFERENTIATION_UNMERGE_AREA,MATCH(Y8,DIFFERENTIATION_ID_DIFF,0)))</f>
        <v>Территория 1</v>
      </c>
      <c r="Z10" s="2413"/>
      <c r="AA10" s="2412" t="str">
        <f>IF(AA8="","",INDEX(DIFFERENTIATION_UNMERGE_AREA,MATCH(AA8,DIFFERENTIATION_ID_DIFF,0)))</f>
        <v>Территория 1</v>
      </c>
      <c r="AB10" s="2413"/>
      <c r="AC10" s="2412" t="str">
        <f>IF(AC8="","",INDEX(DIFFERENTIATION_UNMERGE_AREA,MATCH(AC8,DIFFERENTIATION_ID_DIFF,0)))</f>
        <v>Территория 1</v>
      </c>
      <c r="AD10" s="2413"/>
      <c r="AE10" s="2412" t="str">
        <f>IF(AE8="","",INDEX(DIFFERENTIATION_UNMERGE_AREA,MATCH(AE8,DIFFERENTIATION_ID_DIFF,0)))</f>
        <v>Территория 2</v>
      </c>
      <c r="AF10" s="2413"/>
      <c r="AG10" s="2412" t="str">
        <f>IF(AG8="","",INDEX(DIFFERENTIATION_UNMERGE_AREA,MATCH(AG8,DIFFERENTIATION_ID_DIFF,0)))</f>
        <v>Территория 3</v>
      </c>
      <c r="AH10" s="2413"/>
      <c r="AI10" s="2412" t="str">
        <f>IF(AI8="","",INDEX(DIFFERENTIATION_UNMERGE_AREA,MATCH(AI8,DIFFERENTIATION_ID_DIFF,0)))</f>
        <v>Территория 4</v>
      </c>
      <c r="AJ10" s="2413"/>
      <c r="AK10" s="2412" t="str">
        <f>IF(AK8="","",INDEX(DIFFERENTIATION_UNMERGE_AREA,MATCH(AK8,DIFFERENTIATION_ID_DIFF,0)))</f>
        <v>Территория 5</v>
      </c>
      <c r="AL10" s="2413"/>
      <c r="AM10" s="2412" t="str">
        <f>IF(AM8="","",INDEX(DIFFERENTIATION_UNMERGE_AREA,MATCH(AM8,DIFFERENTIATION_ID_DIFF,0)))</f>
        <v>Территория 6</v>
      </c>
      <c r="AN10" s="2413"/>
      <c r="AO10" s="2412" t="str">
        <f>IF(AO8="","",INDEX(DIFFERENTIATION_UNMERGE_AREA,MATCH(AO8,DIFFERENTIATION_ID_DIFF,0)))</f>
        <v>Территория 7</v>
      </c>
      <c r="AP10" s="2413"/>
      <c r="AQ10" s="2412" t="str">
        <f>IF(AQ8="","",INDEX(DIFFERENTIATION_UNMERGE_AREA,MATCH(AQ8,DIFFERENTIATION_ID_DIFF,0)))</f>
        <v>Территория 8</v>
      </c>
      <c r="AR10" s="2413"/>
      <c r="AS10" s="2412" t="str">
        <f>IF(AS8="","",INDEX(DIFFERENTIATION_UNMERGE_AREA,MATCH(AS8,DIFFERENTIATION_ID_DIFF,0)))</f>
        <v>Территория 9</v>
      </c>
      <c r="AT10" s="2413"/>
      <c r="AU10" s="2412" t="str">
        <f>IF(AU8="","",INDEX(DIFFERENTIATION_UNMERGE_AREA,MATCH(AU8,DIFFERENTIATION_ID_DIFF,0)))</f>
        <v>Территория 10</v>
      </c>
      <c r="AV10" s="2413"/>
      <c r="AW10" s="2412" t="str">
        <f>IF(AW8="","",INDEX(DIFFERENTIATION_UNMERGE_AREA,MATCH(AW8,DIFFERENTIATION_ID_DIFF,0)))</f>
        <v>Территория 11</v>
      </c>
      <c r="AX10" s="2413"/>
      <c r="AY10" s="2412" t="str">
        <f>IF(AY8="","",INDEX(DIFFERENTIATION_UNMERGE_AREA,MATCH(AY8,DIFFERENTIATION_ID_DIFF,0)))</f>
        <v>Территория 12</v>
      </c>
      <c r="AZ10" s="2413"/>
      <c r="BA10" s="2412" t="str">
        <f>IF(BA8="","",INDEX(DIFFERENTIATION_UNMERGE_AREA,MATCH(BA8,DIFFERENTIATION_ID_DIFF,0)))</f>
        <v>Территория 3</v>
      </c>
      <c r="BB10" s="2413"/>
      <c r="BC10" s="2412" t="str">
        <f>IF(BC8="","",INDEX(DIFFERENTIATION_UNMERGE_AREA,MATCH(BC8,DIFFERENTIATION_ID_DIFF,0)))</f>
        <v>Территория 4</v>
      </c>
      <c r="BD10" s="2413"/>
      <c r="BE10" s="2412" t="str">
        <f>IF(BE8="","",INDEX(DIFFERENTIATION_UNMERGE_AREA,MATCH(BE8,DIFFERENTIATION_ID_DIFF,0)))</f>
        <v>Территория 8</v>
      </c>
      <c r="BF10" s="2413"/>
      <c r="BG10" s="2412" t="str">
        <f>IF(BG8="","",INDEX(DIFFERENTIATION_UNMERGE_AREA,MATCH(BG8,DIFFERENTIATION_ID_DIFF,0)))</f>
        <v>Территория 8</v>
      </c>
      <c r="BH10" s="2413"/>
      <c r="BI10" s="2412" t="str">
        <f>IF(BI8="","",INDEX(DIFFERENTIATION_UNMERGE_AREA,MATCH(BI8,DIFFERENTIATION_ID_DIFF,0)))</f>
        <v>Территория 8</v>
      </c>
      <c r="BJ10" s="2413"/>
      <c r="BK10" s="2412" t="str">
        <f>IF(BK8="","",INDEX(DIFFERENTIATION_UNMERGE_AREA,MATCH(BK8,DIFFERENTIATION_ID_DIFF,0)))</f>
        <v>Территория 9</v>
      </c>
      <c r="BL10" s="2413"/>
      <c r="BM10" s="2412" t="str">
        <f>IF(BM8="","",INDEX(DIFFERENTIATION_UNMERGE_AREA,MATCH(BM8,DIFFERENTIATION_ID_DIFF,0)))</f>
        <v>Территория 11</v>
      </c>
      <c r="BN10" s="2413"/>
      <c r="BO10" s="2412" t="str">
        <f>IF(BO8="","",INDEX(DIFFERENTIATION_UNMERGE_AREA,MATCH(BO8,DIFFERENTIATION_ID_DIFF,0)))</f>
        <v>Территория 9</v>
      </c>
      <c r="BP10" s="2413"/>
      <c r="BQ10" s="2412" t="str">
        <f>IF(BQ8="","",INDEX(DIFFERENTIATION_UNMERGE_AREA,MATCH(BQ8,DIFFERENTIATION_ID_DIFF,0)))</f>
        <v>Территория 6</v>
      </c>
      <c r="BR10" s="2413"/>
      <c r="BS10" s="2412" t="str">
        <f>IF(BS8="","",INDEX(DIFFERENTIATION_UNMERGE_AREA,MATCH(BS8,DIFFERENTIATION_ID_DIFF,0)))</f>
        <v>Территория 7</v>
      </c>
      <c r="BT10" s="2413"/>
      <c r="BU10" s="2412" t="str">
        <f>IF(BU8="","",INDEX(DIFFERENTIATION_UNMERGE_AREA,MATCH(BU8,DIFFERENTIATION_ID_DIFF,0)))</f>
        <v>Территория 11</v>
      </c>
      <c r="BV10" s="2413"/>
      <c r="BW10" s="2412" t="str">
        <f>IF(BW8="","",INDEX(DIFFERENTIATION_UNMERGE_AREA,MATCH(BW8,DIFFERENTIATION_ID_DIFF,0)))</f>
        <v>Территория 1</v>
      </c>
      <c r="BX10" s="2413"/>
      <c r="BY10" s="2412" t="str">
        <f>IF(BY8="","",INDEX(DIFFERENTIATION_UNMERGE_AREA,MATCH(BY8,DIFFERENTIATION_ID_DIFF,0)))</f>
        <v>Территория 7</v>
      </c>
      <c r="BZ10" s="2413"/>
      <c r="CA10" s="2412" t="str">
        <f>IF(CA8="","",INDEX(DIFFERENTIATION_UNMERGE_AREA,MATCH(CA8,DIFFERENTIATION_ID_DIFF,0)))</f>
        <v>Территория 5</v>
      </c>
      <c r="CB10" s="2413"/>
      <c r="CC10" s="2412" t="str">
        <f>IF(CC8="","",INDEX(DIFFERENTIATION_UNMERGE_AREA,MATCH(CC8,DIFFERENTIATION_ID_DIFF,0)))</f>
        <v>Территория 4</v>
      </c>
      <c r="CD10" s="2413"/>
      <c r="CE10" s="2412" t="str">
        <f>IF(CE8="","",INDEX(DIFFERENTIATION_UNMERGE_AREA,MATCH(CE8,DIFFERENTIATION_ID_DIFF,0)))</f>
        <v>Территория 8</v>
      </c>
      <c r="CF10" s="2413"/>
      <c r="CG10" s="2412" t="str">
        <f>IF(CG8="","",INDEX(DIFFERENTIATION_UNMERGE_AREA,MATCH(CG8,DIFFERENTIATION_ID_DIFF,0)))</f>
        <v>Территория 6</v>
      </c>
      <c r="CH10" s="2413"/>
      <c r="CI10" s="2216"/>
      <c r="CS10" s="679"/>
      <c r="CT10" s="762">
        <v>15</v>
      </c>
    </row>
    <row s="1639" customFormat="1" customHeight="1" ht="15.75">
      <c r="A11" s="763"/>
      <c r="C11" s="180"/>
      <c r="D11" s="715"/>
      <c r="E11" s="2384" t="s">
        <v>703</v>
      </c>
      <c r="F11" s="2385"/>
      <c r="G11" s="2412" t="str">
        <f>IF(G8="","",INDEX(DIFFERENTIATION_UNMERGE_SYSTEM,MATCH(G8,DIFFERENTIATION_ID_DIFF,0)))</f>
        <v/>
      </c>
      <c r="H11" s="2413"/>
      <c r="I11" s="2412" t="str">
        <f>IF(I8="","",INDEX(DIFFERENTIATION_UNMERGE_SYSTEM,MATCH(I8,DIFFERENTIATION_ID_DIFF,0)))</f>
        <v>Централизованная система водоснабжения Барабашского сельского поселения</v>
      </c>
      <c r="J11" s="2413"/>
      <c r="K11" s="2412" t="str">
        <f>IF(K8="","",INDEX(DIFFERENTIATION_UNMERGE_SYSTEM,MATCH(K8,DIFFERENTIATION_ID_DIFF,0)))</f>
        <v>Черниговский МР</v>
      </c>
      <c r="L11" s="2413"/>
      <c r="M11" s="2412" t="str">
        <f>IF(M8="","",INDEX(DIFFERENTIATION_UNMERGE_SYSTEM,MATCH(M8,DIFFERENTIATION_ID_DIFF,0)))</f>
        <v> Городской округ Спасск-Дальний, Городской округ Спасск-Дальний (05720000)</v>
      </c>
      <c r="N11" s="2413"/>
      <c r="O11" s="2412" t="str">
        <f>IF(O8="","",INDEX(DIFFERENTIATION_UNMERGE_SYSTEM,MATCH(O8,DIFFERENTIATION_ID_DIFF,0)))</f>
        <v>Анучинский муниципальный округ, Анучинский муниципальный округ (05502000)</v>
      </c>
      <c r="P11" s="2413"/>
      <c r="Q11" s="2412" t="str">
        <f>IF(Q8="","",INDEX(DIFFERENTIATION_UNMERGE_SYSTEM,MATCH(Q8,DIFFERENTIATION_ID_DIFF,0)))</f>
        <v>Централизованная система водоснабжения Барабашского сельского поселения.Военный городок</v>
      </c>
      <c r="R11" s="2413"/>
      <c r="S11" s="2412" t="str">
        <f>IF(S8="","",INDEX(DIFFERENTIATION_UNMERGE_SYSTEM,MATCH(S8,DIFFERENTIATION_ID_DIFF,0)))</f>
        <v>Централизованная система водоснабжения Безверховского сельского поселения</v>
      </c>
      <c r="T11" s="2413"/>
      <c r="U11" s="2412" t="str">
        <f>IF(U8="","",INDEX(DIFFERENTIATION_UNMERGE_SYSTEM,MATCH(U8,DIFFERENTIATION_ID_DIFF,0)))</f>
        <v>Централизованная система водоснабжения Краскинского городского поселения</v>
      </c>
      <c r="V11" s="2413"/>
      <c r="W11" s="2412" t="str">
        <f>IF(W8="","",INDEX(DIFFERENTIATION_UNMERGE_SYSTEM,MATCH(W8,DIFFERENTIATION_ID_DIFF,0)))</f>
        <v>Централизованная система водоснабжения Посьетского городского поселения</v>
      </c>
      <c r="X11" s="2413"/>
      <c r="Y11" s="2412" t="str">
        <f>IF(Y8="","",INDEX(DIFFERENTIATION_UNMERGE_SYSTEM,MATCH(Y8,DIFFERENTIATION_ID_DIFF,0)))</f>
        <v>Централизованная система водоснабжения Приморского городского поселения</v>
      </c>
      <c r="Z11" s="2413"/>
      <c r="AA11" s="2412" t="str">
        <f>IF(AA8="","",INDEX(DIFFERENTIATION_UNMERGE_SYSTEM,MATCH(AA8,DIFFERENTIATION_ID_DIFF,0)))</f>
        <v>Централизованная система водоснабжения пгт.Зарубино Хасанского муниципального округа</v>
      </c>
      <c r="AB11" s="2413"/>
      <c r="AC11" s="2412" t="str">
        <f>IF(AC8="","",INDEX(DIFFERENTIATION_UNMERGE_SYSTEM,MATCH(AC8,DIFFERENTIATION_ID_DIFF,0)))</f>
        <v>Централизованная система водоснабжения пгт. Хасан Хасанского муниципального округа</v>
      </c>
      <c r="AD11" s="2413"/>
      <c r="AE11" s="2412" t="str">
        <f>IF(AE8="","",INDEX(DIFFERENTIATION_UNMERGE_SYSTEM,MATCH(AE8,DIFFERENTIATION_ID_DIFF,0)))</f>
        <v>Централизованная система водоснабжения Анучинского сельского поселения</v>
      </c>
      <c r="AF11" s="2413"/>
      <c r="AG11" s="2412" t="str">
        <f>IF(AG8="","",INDEX(DIFFERENTIATION_UNMERGE_SYSTEM,MATCH(AG8,DIFFERENTIATION_ID_DIFF,0)))</f>
        <v>Централизованная система водоснабжения Романовского сельского поселения</v>
      </c>
      <c r="AH11" s="2413"/>
      <c r="AI11" s="2412" t="str">
        <f>IF(AI8="","",INDEX(DIFFERENTIATION_UNMERGE_SYSTEM,MATCH(AI8,DIFFERENTIATION_ID_DIFF,0)))</f>
        <v>Централизованная система водоснабжения городского округа ЗАТО город Фокино</v>
      </c>
      <c r="AJ11" s="2413"/>
      <c r="AK11" s="2412" t="str">
        <f>IF(AK8="","",INDEX(DIFFERENTIATION_UNMERGE_SYSTEM,MATCH(AK8,DIFFERENTIATION_ID_DIFF,0)))</f>
        <v>Централизованная система водоснабжения Новошахтинского городского поселения</v>
      </c>
      <c r="AL11" s="2413"/>
      <c r="AM11" s="2412" t="str">
        <f>IF(AM8="","",INDEX(DIFFERENTIATION_UNMERGE_SYSTEM,MATCH(AM8,DIFFERENTIATION_ID_DIFF,0)))</f>
        <v>Централизованная система водоснабжения Дальнегорского городского округа</v>
      </c>
      <c r="AN11" s="2413"/>
      <c r="AO11" s="2412" t="str">
        <f>IF(AO8="","",INDEX(DIFFERENTIATION_UNMERGE_SYSTEM,MATCH(AO8,DIFFERENTIATION_ID_DIFF,0)))</f>
        <v>Централизованная система водоснабжения Кавалеровского муниципального района</v>
      </c>
      <c r="AP11" s="2413"/>
      <c r="AQ11" s="2412" t="str">
        <f>IF(AQ8="","",INDEX(DIFFERENTIATION_UNMERGE_SYSTEM,MATCH(AQ8,DIFFERENTIATION_ID_DIFF,0)))</f>
        <v>Централизованная система водоснабжения Дмитриевского сельского поселения</v>
      </c>
      <c r="AR11" s="2413"/>
      <c r="AS11" s="2412" t="str">
        <f>IF(AS8="","",INDEX(DIFFERENTIATION_UNMERGE_SYSTEM,MATCH(AS8,DIFFERENTIATION_ID_DIFF,0)))</f>
        <v>Централизованная система водоснабжения городского округа Спасск-Дальний МКР №1, №2, №3, №3-А, им.50-летия Спасска, им.Блюхера, "Партизанский", ""Заречная часть", поселок "Шиферный"</v>
      </c>
      <c r="AT11" s="2413"/>
      <c r="AU11" s="2412" t="str">
        <f>IF(AU8="","",INDEX(DIFFERENTIATION_UNMERGE_SYSTEM,MATCH(AU8,DIFFERENTIATION_ID_DIFF,0)))</f>
        <v>Централизованная система водоснабжения Глубинненского сельского поселения</v>
      </c>
      <c r="AV11" s="2413"/>
      <c r="AW11" s="2412" t="str">
        <f>IF(AW8="","",INDEX(DIFFERENTIATION_UNMERGE_SYSTEM,MATCH(AW8,DIFFERENTIATION_ID_DIFF,0)))</f>
        <v>Централизованная система водоснабжения  Дальнереченского городского округа</v>
      </c>
      <c r="AX11" s="2413"/>
      <c r="AY11" s="2412" t="str">
        <f>IF(AY8="","",INDEX(DIFFERENTIATION_UNMERGE_SYSTEM,MATCH(AY8,DIFFERENTIATION_ID_DIFF,0)))</f>
        <v>Централизованная истема водоснабжения Варфоломеевского сельского поселения (железнодорожная станция Варфоломеевка)</v>
      </c>
      <c r="AZ11" s="2413"/>
      <c r="BA11" s="2412" t="str">
        <f>IF(BA8="","",INDEX(DIFFERENTIATION_UNMERGE_SYSTEM,MATCH(BA8,DIFFERENTIATION_ID_DIFF,0)))</f>
        <v>Централизованная система водоснабжения Штыковского сельского поселения</v>
      </c>
      <c r="BB11" s="2413"/>
      <c r="BC11" s="2412" t="str">
        <f>IF(BC8="","",INDEX(DIFFERENTIATION_UNMERGE_SYSTEM,MATCH(BC8,DIFFERENTIATION_ID_DIFF,0)))</f>
        <v>Централизованная система водоснабжения городского округа ЗАТО город Фокино (п.Путятин)</v>
      </c>
      <c r="BD11" s="2413"/>
      <c r="BE11" s="2412" t="str">
        <f>IF(BE8="","",INDEX(DIFFERENTIATION_UNMERGE_SYSTEM,MATCH(BE8,DIFFERENTIATION_ID_DIFF,0)))</f>
        <v>Централизованная система водоснабжения Реттиховского сельского поселения</v>
      </c>
      <c r="BF11" s="2413"/>
      <c r="BG11" s="2412" t="str">
        <f>IF(BG8="","",INDEX(DIFFERENTIATION_UNMERGE_SYSTEM,MATCH(BG8,DIFFERENTIATION_ID_DIFF,0)))</f>
        <v>Централизованная система водоснабжения Снегуровского сельского поселения </v>
      </c>
      <c r="BH11" s="2413"/>
      <c r="BI11" s="2412" t="str">
        <f>IF(BI8="","",INDEX(DIFFERENTIATION_UNMERGE_SYSTEM,MATCH(BI8,DIFFERENTIATION_ID_DIFF,0)))</f>
        <v>Централизованная система водоснабжения Черниговского сельского поселения</v>
      </c>
      <c r="BJ11" s="2413"/>
      <c r="BK11" s="2412" t="str">
        <f>IF(BK8="","",INDEX(DIFFERENTIATION_UNMERGE_SYSTEM,MATCH(BK8,DIFFERENTIATION_ID_DIFF,0)))</f>
        <v>Централизованная система водоснабжения городского округа Спасск-Дальний МКР Лазо</v>
      </c>
      <c r="BL11" s="2413"/>
      <c r="BM11" s="2412" t="str">
        <f>IF(BM8="","",INDEX(DIFFERENTIATION_UNMERGE_SYSTEM,MATCH(BM8,DIFFERENTIATION_ID_DIFF,0)))</f>
        <v>Централизованная система водоснабжения  Дальнереченского городского округа (в.г.Графский)</v>
      </c>
      <c r="BN11" s="2413"/>
      <c r="BO11" s="2412" t="str">
        <f>IF(BO8="","",INDEX(DIFFERENTIATION_UNMERGE_SYSTEM,MATCH(BO8,DIFFERENTIATION_ID_DIFF,0)))</f>
        <v>Городской округ Спасск-Дальний</v>
      </c>
      <c r="BP11" s="2413"/>
      <c r="BQ11" s="2412" t="str">
        <f>IF(BQ8="","",INDEX(DIFFERENTIATION_UNMERGE_SYSTEM,MATCH(BQ8,DIFFERENTIATION_ID_DIFF,0)))</f>
        <v>Дальнегорский ГО</v>
      </c>
      <c r="BR11" s="2413"/>
      <c r="BS11" s="2412" t="str">
        <f>IF(BS8="","",INDEX(DIFFERENTIATION_UNMERGE_SYSTEM,MATCH(BS8,DIFFERENTIATION_ID_DIFF,0)))</f>
        <v>Кавалеровский МО</v>
      </c>
      <c r="BT11" s="2413"/>
      <c r="BU11" s="2412" t="str">
        <f>IF(BU8="","",INDEX(DIFFERENTIATION_UNMERGE_SYSTEM,MATCH(BU8,DIFFERENTIATION_ID_DIFF,0)))</f>
        <v>Дальнереченский ГО</v>
      </c>
      <c r="BV11" s="2413"/>
      <c r="BW11" s="2412" t="str">
        <f>IF(BW8="","",INDEX(DIFFERENTIATION_UNMERGE_SYSTEM,MATCH(BW8,DIFFERENTIATION_ID_DIFF,0)))</f>
        <v>пгт Посьет Хасанский муниципальный округ</v>
      </c>
      <c r="BX11" s="2413"/>
      <c r="BY11" s="2412" t="str">
        <f>IF(BY8="","",INDEX(DIFFERENTIATION_UNMERGE_SYSTEM,MATCH(BY8,DIFFERENTIATION_ID_DIFF,0)))</f>
        <v>Кавалеровский муниципальный район, Кавалеровкое городское поселение (05610151)</v>
      </c>
      <c r="BZ11" s="2413"/>
      <c r="CA11" s="2412" t="str">
        <f>IF(CA8="","",INDEX(DIFFERENTIATION_UNMERGE_SYSTEM,MATCH(CA8,DIFFERENTIATION_ID_DIFF,0)))</f>
        <v> Михайловский муниципальный район, Новошахтинское городское поселение (05620154)</v>
      </c>
      <c r="CB11" s="2413"/>
      <c r="CC11" s="2412" t="str">
        <f>IF(CC8="","",INDEX(DIFFERENTIATION_UNMERGE_SYSTEM,MATCH(CC8,DIFFERENTIATION_ID_DIFF,0)))</f>
        <v>Городской округ ЗАТО г.Фокино (пгт. Путятин)</v>
      </c>
      <c r="CD11" s="2413"/>
      <c r="CE11" s="2412" t="str">
        <f>IF(CE8="","",INDEX(DIFFERENTIATION_UNMERGE_SYSTEM,MATCH(CE8,DIFFERENTIATION_ID_DIFF,0)))</f>
        <v> Черниговский муниципальный район, Черниговское сельское поселение (05653425)</v>
      </c>
      <c r="CF11" s="2413"/>
      <c r="CG11" s="2412" t="str">
        <f>IF(CG8="","",INDEX(DIFFERENTIATION_UNMERGE_SYSTEM,MATCH(CG8,DIFFERENTIATION_ID_DIFF,0)))</f>
        <v> Дальнегорский городской округ, Дальнегорский городской округ (05707000)</v>
      </c>
      <c r="CH11" s="2413"/>
      <c r="CI11" s="2216"/>
      <c r="CS11" s="679"/>
      <c r="CT11" s="762">
        <v>15</v>
      </c>
    </row>
    <row s="1639" customFormat="1" customHeight="1" ht="15.75">
      <c r="A12" s="763"/>
      <c r="C12" s="180"/>
      <c r="D12" s="2386" t="s">
        <v>438</v>
      </c>
      <c r="E12" s="2387"/>
      <c r="F12" s="2387"/>
      <c r="G12" s="891"/>
      <c r="H12" s="891"/>
      <c r="I12" s="891"/>
      <c r="J12" s="891"/>
      <c r="K12" s="2384"/>
      <c r="L12" s="2384"/>
      <c r="M12" s="2384"/>
      <c r="N12" s="2384"/>
      <c r="O12" s="2384"/>
      <c r="P12" s="2384"/>
      <c r="Q12" s="2384"/>
      <c r="R12" s="2384"/>
      <c r="S12" s="2384"/>
      <c r="T12" s="2384"/>
      <c r="U12" s="2384"/>
      <c r="V12" s="2384"/>
      <c r="W12" s="2384"/>
      <c r="X12" s="2384"/>
      <c r="Y12" s="2384"/>
      <c r="Z12" s="2384"/>
      <c r="AA12" s="2384"/>
      <c r="AB12" s="2384"/>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4"/>
      <c r="BT12" s="2384"/>
      <c r="BU12" s="2384"/>
      <c r="BV12" s="2384"/>
      <c r="BW12" s="2384"/>
      <c r="BX12" s="2384"/>
      <c r="BY12" s="2384"/>
      <c r="BZ12" s="2384"/>
      <c r="CA12" s="2384"/>
      <c r="CB12" s="2384"/>
      <c r="CC12" s="2384"/>
      <c r="CD12" s="2384"/>
      <c r="CE12" s="2384"/>
      <c r="CF12" s="2384"/>
      <c r="CG12" s="2384"/>
      <c r="CH12" s="2384"/>
      <c r="CI12" s="2216"/>
      <c r="CS12" s="679"/>
      <c r="CT12" s="762">
        <v>15</v>
      </c>
    </row>
    <row customHeight="1" ht="35.699999999999996">
      <c r="C13" s="180"/>
      <c r="D13" s="809" t="s">
        <v>87</v>
      </c>
      <c r="E13" s="811" t="s">
        <v>440</v>
      </c>
      <c r="F13" s="811" t="s">
        <v>704</v>
      </c>
      <c r="G13" s="812" t="s">
        <v>441</v>
      </c>
      <c r="H13" s="811" t="s">
        <v>528</v>
      </c>
      <c r="I13" s="812" t="s">
        <v>441</v>
      </c>
      <c r="J13" s="811" t="s">
        <v>528</v>
      </c>
      <c r="K13" s="2279" t="s">
        <v>441</v>
      </c>
      <c r="L13" s="2383" t="s">
        <v>528</v>
      </c>
      <c r="M13" s="2279" t="s">
        <v>441</v>
      </c>
      <c r="N13" s="2383" t="s">
        <v>528</v>
      </c>
      <c r="O13" s="2279" t="s">
        <v>441</v>
      </c>
      <c r="P13" s="2383" t="s">
        <v>528</v>
      </c>
      <c r="Q13" s="2279" t="s">
        <v>441</v>
      </c>
      <c r="R13" s="2383" t="s">
        <v>528</v>
      </c>
      <c r="S13" s="2279" t="s">
        <v>441</v>
      </c>
      <c r="T13" s="2383" t="s">
        <v>528</v>
      </c>
      <c r="U13" s="2279" t="s">
        <v>441</v>
      </c>
      <c r="V13" s="2383" t="s">
        <v>528</v>
      </c>
      <c r="W13" s="2279" t="s">
        <v>441</v>
      </c>
      <c r="X13" s="2383" t="s">
        <v>528</v>
      </c>
      <c r="Y13" s="2279" t="s">
        <v>441</v>
      </c>
      <c r="Z13" s="2383" t="s">
        <v>528</v>
      </c>
      <c r="AA13" s="2279" t="s">
        <v>441</v>
      </c>
      <c r="AB13" s="2383" t="s">
        <v>528</v>
      </c>
      <c r="AC13" s="2279" t="s">
        <v>441</v>
      </c>
      <c r="AD13" s="2383" t="s">
        <v>528</v>
      </c>
      <c r="AE13" s="2279" t="s">
        <v>441</v>
      </c>
      <c r="AF13" s="2383" t="s">
        <v>528</v>
      </c>
      <c r="AG13" s="2279" t="s">
        <v>441</v>
      </c>
      <c r="AH13" s="2383" t="s">
        <v>528</v>
      </c>
      <c r="AI13" s="2279" t="s">
        <v>441</v>
      </c>
      <c r="AJ13" s="2383" t="s">
        <v>528</v>
      </c>
      <c r="AK13" s="2279" t="s">
        <v>441</v>
      </c>
      <c r="AL13" s="2383" t="s">
        <v>528</v>
      </c>
      <c r="AM13" s="2279" t="s">
        <v>441</v>
      </c>
      <c r="AN13" s="2383" t="s">
        <v>528</v>
      </c>
      <c r="AO13" s="2279" t="s">
        <v>441</v>
      </c>
      <c r="AP13" s="2383" t="s">
        <v>528</v>
      </c>
      <c r="AQ13" s="2279" t="s">
        <v>441</v>
      </c>
      <c r="AR13" s="2383" t="s">
        <v>528</v>
      </c>
      <c r="AS13" s="2279" t="s">
        <v>441</v>
      </c>
      <c r="AT13" s="2383" t="s">
        <v>528</v>
      </c>
      <c r="AU13" s="2279" t="s">
        <v>441</v>
      </c>
      <c r="AV13" s="2383" t="s">
        <v>528</v>
      </c>
      <c r="AW13" s="2279" t="s">
        <v>441</v>
      </c>
      <c r="AX13" s="2383" t="s">
        <v>528</v>
      </c>
      <c r="AY13" s="2279" t="s">
        <v>441</v>
      </c>
      <c r="AZ13" s="2383" t="s">
        <v>528</v>
      </c>
      <c r="BA13" s="2279" t="s">
        <v>441</v>
      </c>
      <c r="BB13" s="2383" t="s">
        <v>528</v>
      </c>
      <c r="BC13" s="2279" t="s">
        <v>441</v>
      </c>
      <c r="BD13" s="2383" t="s">
        <v>528</v>
      </c>
      <c r="BE13" s="2279" t="s">
        <v>441</v>
      </c>
      <c r="BF13" s="2383" t="s">
        <v>528</v>
      </c>
      <c r="BG13" s="2279" t="s">
        <v>441</v>
      </c>
      <c r="BH13" s="2383" t="s">
        <v>528</v>
      </c>
      <c r="BI13" s="2279" t="s">
        <v>441</v>
      </c>
      <c r="BJ13" s="2383" t="s">
        <v>528</v>
      </c>
      <c r="BK13" s="2279" t="s">
        <v>441</v>
      </c>
      <c r="BL13" s="2383" t="s">
        <v>528</v>
      </c>
      <c r="BM13" s="2279" t="s">
        <v>441</v>
      </c>
      <c r="BN13" s="2383" t="s">
        <v>528</v>
      </c>
      <c r="BO13" s="2279" t="s">
        <v>441</v>
      </c>
      <c r="BP13" s="2383" t="s">
        <v>528</v>
      </c>
      <c r="BQ13" s="2279" t="s">
        <v>441</v>
      </c>
      <c r="BR13" s="2383" t="s">
        <v>528</v>
      </c>
      <c r="BS13" s="2279" t="s">
        <v>441</v>
      </c>
      <c r="BT13" s="2383" t="s">
        <v>528</v>
      </c>
      <c r="BU13" s="2279" t="s">
        <v>441</v>
      </c>
      <c r="BV13" s="2383" t="s">
        <v>528</v>
      </c>
      <c r="BW13" s="2279" t="s">
        <v>441</v>
      </c>
      <c r="BX13" s="2383" t="s">
        <v>528</v>
      </c>
      <c r="BY13" s="2279" t="s">
        <v>441</v>
      </c>
      <c r="BZ13" s="2383" t="s">
        <v>528</v>
      </c>
      <c r="CA13" s="2279" t="s">
        <v>441</v>
      </c>
      <c r="CB13" s="2383" t="s">
        <v>528</v>
      </c>
      <c r="CC13" s="2279" t="s">
        <v>441</v>
      </c>
      <c r="CD13" s="2383" t="s">
        <v>528</v>
      </c>
      <c r="CE13" s="2279" t="s">
        <v>441</v>
      </c>
      <c r="CF13" s="2383" t="s">
        <v>528</v>
      </c>
      <c r="CG13" s="2279" t="s">
        <v>441</v>
      </c>
      <c r="CH13" s="2383" t="s">
        <v>528</v>
      </c>
      <c r="CI13" s="2249"/>
      <c r="CT13" s="509">
        <v>34</v>
      </c>
    </row>
    <row customHeight="1" ht="15" hidden="1">
      <c r="C14" s="180"/>
      <c r="D14" s="597" t="s">
        <v>105</v>
      </c>
      <c r="E14" s="597" t="s">
        <v>102</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687" t="str">
        <f>AM1&amp;".1"</f>
        <v>4.1</v>
      </c>
      <c r="AN14" s="687"/>
      <c r="AO14" s="687" t="str">
        <f>AO1&amp;".1"</f>
        <v>4.1</v>
      </c>
      <c r="AP14" s="687"/>
      <c r="AQ14" s="687" t="str">
        <f>AQ1&amp;".1"</f>
        <v>4.1</v>
      </c>
      <c r="AR14" s="687"/>
      <c r="AS14" s="687" t="str">
        <f>AS1&amp;".1"</f>
        <v>4.1</v>
      </c>
      <c r="AT14" s="687"/>
      <c r="AU14" s="687" t="str">
        <f>AU1&amp;".1"</f>
        <v>4.1</v>
      </c>
      <c r="AV14" s="687"/>
      <c r="AW14" s="687" t="str">
        <f>AW1&amp;".1"</f>
        <v>4.1</v>
      </c>
      <c r="AX14" s="687"/>
      <c r="AY14" s="687" t="str">
        <f>AY1&amp;".1"</f>
        <v>4.1</v>
      </c>
      <c r="AZ14" s="687"/>
      <c r="BA14" s="687" t="str">
        <f>BA1&amp;".1"</f>
        <v>4.1</v>
      </c>
      <c r="BB14" s="687"/>
      <c r="BC14" s="687" t="str">
        <f>BC1&amp;".1"</f>
        <v>4.1</v>
      </c>
      <c r="BD14" s="687"/>
      <c r="BE14" s="687" t="str">
        <f>BE1&amp;".1"</f>
        <v>4.1</v>
      </c>
      <c r="BF14" s="687"/>
      <c r="BG14" s="687" t="str">
        <f>BG1&amp;".1"</f>
        <v>4.1</v>
      </c>
      <c r="BH14" s="687"/>
      <c r="BI14" s="687" t="str">
        <f>BI1&amp;".1"</f>
        <v>4.1</v>
      </c>
      <c r="BJ14" s="687"/>
      <c r="BK14" s="687" t="str">
        <f>BK1&amp;".1"</f>
        <v>4.1</v>
      </c>
      <c r="BL14" s="687"/>
      <c r="BM14" s="687" t="str">
        <f>BM1&amp;".1"</f>
        <v>4.1</v>
      </c>
      <c r="BN14" s="687"/>
      <c r="BO14" s="687" t="str">
        <f>BO1&amp;".1"</f>
        <v>4.1</v>
      </c>
      <c r="BP14" s="687"/>
      <c r="BQ14" s="687" t="str">
        <f>BQ1&amp;".1"</f>
        <v>4.1</v>
      </c>
      <c r="BR14" s="687"/>
      <c r="BS14" s="687" t="str">
        <f>BS1&amp;".1"</f>
        <v>3.1</v>
      </c>
      <c r="BT14" s="687"/>
      <c r="BU14" s="687" t="str">
        <f>BU1&amp;".1"</f>
        <v>4.1</v>
      </c>
      <c r="BV14" s="687"/>
      <c r="BW14" s="687" t="str">
        <f>BW1&amp;".1"</f>
        <v>3.1</v>
      </c>
      <c r="BX14" s="687"/>
      <c r="BY14" s="687" t="str">
        <f>BY1&amp;".1"</f>
        <v>3.1</v>
      </c>
      <c r="BZ14" s="687"/>
      <c r="CA14" s="687" t="str">
        <f>CA1&amp;".1"</f>
        <v>4.1</v>
      </c>
      <c r="CB14" s="687"/>
      <c r="CC14" s="687" t="str">
        <f>CC1&amp;".1"</f>
        <v>4.1</v>
      </c>
      <c r="CD14" s="687"/>
      <c r="CE14" s="687" t="str">
        <f>CE1&amp;".1"</f>
        <v>4.1</v>
      </c>
      <c r="CF14" s="687"/>
      <c r="CG14" s="687" t="str">
        <f>CG1&amp;".1"</f>
        <v>4.1</v>
      </c>
      <c r="CH14" s="687"/>
      <c r="CI14" s="293"/>
      <c r="CT14" s="509">
        <v>0</v>
      </c>
    </row>
    <row customHeight="1" ht="22.5" hidden="1">
      <c r="A15" s="509"/>
      <c r="C15" s="530"/>
      <c r="D15" s="525">
        <v>1</v>
      </c>
      <c r="E15" s="681" t="s">
        <v>1009</v>
      </c>
      <c r="F15" s="525" t="s">
        <v>1010</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293" t="s">
        <v>1011</v>
      </c>
      <c r="CT15" s="509">
        <v>0</v>
      </c>
    </row>
    <row customHeight="1" ht="22.5" hidden="1">
      <c r="A16" s="509"/>
      <c r="C16" s="530"/>
      <c r="D16" s="525">
        <v>2</v>
      </c>
      <c r="E16" s="283" t="s">
        <v>1012</v>
      </c>
      <c r="F16" s="525" t="s">
        <v>1013</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293" t="s">
        <v>1014</v>
      </c>
      <c r="CT16" s="509">
        <v>0</v>
      </c>
    </row>
    <row customHeight="1" ht="123.75" hidden="1">
      <c r="A17" s="509"/>
      <c r="C17" s="530"/>
      <c r="D17" s="525">
        <v>3</v>
      </c>
      <c r="E17" s="283" t="s">
        <v>1492</v>
      </c>
      <c r="F17" s="525" t="s">
        <v>444</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293" t="s">
        <v>1493</v>
      </c>
      <c r="CT17" s="509">
        <v>0</v>
      </c>
    </row>
    <row customHeight="1" ht="48.29999999999999">
      <c r="A18" s="509"/>
      <c r="C18" s="530"/>
      <c r="D18" s="525">
        <v>3</v>
      </c>
      <c r="E18" s="283" t="s">
        <v>1015</v>
      </c>
      <c r="F18" s="525" t="s">
        <v>444</v>
      </c>
      <c r="G18" s="813" t="s">
        <v>444</v>
      </c>
      <c r="H18" s="814" t="s">
        <v>444</v>
      </c>
      <c r="I18" s="525" t="s">
        <v>444</v>
      </c>
      <c r="J18" s="582" t="s">
        <v>444</v>
      </c>
      <c r="K18" s="2383" t="s">
        <v>444</v>
      </c>
      <c r="L18" s="2277" t="s">
        <v>444</v>
      </c>
      <c r="M18" s="2383" t="s">
        <v>444</v>
      </c>
      <c r="N18" s="2277" t="s">
        <v>444</v>
      </c>
      <c r="O18" s="2383" t="s">
        <v>444</v>
      </c>
      <c r="P18" s="2277" t="s">
        <v>444</v>
      </c>
      <c r="Q18" s="2383" t="s">
        <v>444</v>
      </c>
      <c r="R18" s="2277" t="s">
        <v>444</v>
      </c>
      <c r="S18" s="2383" t="s">
        <v>444</v>
      </c>
      <c r="T18" s="2277" t="s">
        <v>444</v>
      </c>
      <c r="U18" s="2383" t="s">
        <v>444</v>
      </c>
      <c r="V18" s="2277" t="s">
        <v>444</v>
      </c>
      <c r="W18" s="2383" t="s">
        <v>444</v>
      </c>
      <c r="X18" s="2277" t="s">
        <v>444</v>
      </c>
      <c r="Y18" s="2383" t="s">
        <v>444</v>
      </c>
      <c r="Z18" s="2277" t="s">
        <v>444</v>
      </c>
      <c r="AA18" s="2383" t="s">
        <v>444</v>
      </c>
      <c r="AB18" s="2277" t="s">
        <v>444</v>
      </c>
      <c r="AC18" s="2383" t="s">
        <v>444</v>
      </c>
      <c r="AD18" s="2277" t="s">
        <v>444</v>
      </c>
      <c r="AE18" s="2383" t="s">
        <v>444</v>
      </c>
      <c r="AF18" s="2277" t="s">
        <v>444</v>
      </c>
      <c r="AG18" s="2383" t="s">
        <v>444</v>
      </c>
      <c r="AH18" s="2277" t="s">
        <v>444</v>
      </c>
      <c r="AI18" s="2383" t="s">
        <v>444</v>
      </c>
      <c r="AJ18" s="2277" t="s">
        <v>444</v>
      </c>
      <c r="AK18" s="2383" t="s">
        <v>444</v>
      </c>
      <c r="AL18" s="2277" t="s">
        <v>444</v>
      </c>
      <c r="AM18" s="2383" t="s">
        <v>444</v>
      </c>
      <c r="AN18" s="2277" t="s">
        <v>444</v>
      </c>
      <c r="AO18" s="2383" t="s">
        <v>444</v>
      </c>
      <c r="AP18" s="2277" t="s">
        <v>444</v>
      </c>
      <c r="AQ18" s="2383" t="s">
        <v>444</v>
      </c>
      <c r="AR18" s="2277" t="s">
        <v>444</v>
      </c>
      <c r="AS18" s="2383" t="s">
        <v>444</v>
      </c>
      <c r="AT18" s="2277" t="s">
        <v>444</v>
      </c>
      <c r="AU18" s="2383" t="s">
        <v>444</v>
      </c>
      <c r="AV18" s="2277" t="s">
        <v>444</v>
      </c>
      <c r="AW18" s="2383" t="s">
        <v>444</v>
      </c>
      <c r="AX18" s="2277" t="s">
        <v>444</v>
      </c>
      <c r="AY18" s="2383" t="s">
        <v>444</v>
      </c>
      <c r="AZ18" s="2277" t="s">
        <v>444</v>
      </c>
      <c r="BA18" s="2383" t="s">
        <v>444</v>
      </c>
      <c r="BB18" s="2277" t="s">
        <v>444</v>
      </c>
      <c r="BC18" s="2383" t="s">
        <v>444</v>
      </c>
      <c r="BD18" s="2277" t="s">
        <v>444</v>
      </c>
      <c r="BE18" s="2383" t="s">
        <v>444</v>
      </c>
      <c r="BF18" s="2277" t="s">
        <v>444</v>
      </c>
      <c r="BG18" s="2383" t="s">
        <v>444</v>
      </c>
      <c r="BH18" s="2277" t="s">
        <v>444</v>
      </c>
      <c r="BI18" s="2383" t="s">
        <v>444</v>
      </c>
      <c r="BJ18" s="2277" t="s">
        <v>444</v>
      </c>
      <c r="BK18" s="2383" t="s">
        <v>444</v>
      </c>
      <c r="BL18" s="2277" t="s">
        <v>444</v>
      </c>
      <c r="BM18" s="2383" t="s">
        <v>444</v>
      </c>
      <c r="BN18" s="2277" t="s">
        <v>444</v>
      </c>
      <c r="BO18" s="2383" t="s">
        <v>444</v>
      </c>
      <c r="BP18" s="2277" t="s">
        <v>444</v>
      </c>
      <c r="BQ18" s="2383" t="s">
        <v>444</v>
      </c>
      <c r="BR18" s="2277" t="s">
        <v>444</v>
      </c>
      <c r="BS18" s="2383" t="s">
        <v>444</v>
      </c>
      <c r="BT18" s="2277" t="s">
        <v>444</v>
      </c>
      <c r="BU18" s="2383" t="s">
        <v>444</v>
      </c>
      <c r="BV18" s="2277" t="s">
        <v>444</v>
      </c>
      <c r="BW18" s="2383" t="s">
        <v>444</v>
      </c>
      <c r="BX18" s="2277" t="s">
        <v>444</v>
      </c>
      <c r="BY18" s="2383" t="s">
        <v>444</v>
      </c>
      <c r="BZ18" s="2277" t="s">
        <v>444</v>
      </c>
      <c r="CA18" s="2383" t="s">
        <v>444</v>
      </c>
      <c r="CB18" s="2277" t="s">
        <v>444</v>
      </c>
      <c r="CC18" s="2383" t="s">
        <v>444</v>
      </c>
      <c r="CD18" s="2277" t="s">
        <v>444</v>
      </c>
      <c r="CE18" s="2383" t="s">
        <v>444</v>
      </c>
      <c r="CF18" s="2277" t="s">
        <v>444</v>
      </c>
      <c r="CG18" s="2383" t="s">
        <v>444</v>
      </c>
      <c r="CH18" s="2277" t="s">
        <v>444</v>
      </c>
      <c r="CI18" s="293" t="s">
        <v>1494</v>
      </c>
      <c r="CT18" s="509">
        <v>46</v>
      </c>
    </row>
    <row customHeight="1" ht="35.699999999999996">
      <c r="A19" s="509"/>
      <c r="C19" s="530"/>
      <c r="D19" s="543" t="s">
        <v>462</v>
      </c>
      <c r="E19" s="563" t="s">
        <v>1017</v>
      </c>
      <c r="F19" s="525" t="s">
        <v>1018</v>
      </c>
      <c r="G19" s="821"/>
      <c r="H19" s="110"/>
      <c r="I19" s="821"/>
      <c r="J19" s="822"/>
      <c r="K19" s="821"/>
      <c r="L19" s="2518"/>
      <c r="M19" s="821"/>
      <c r="N19" s="2518"/>
      <c r="O19" s="821"/>
      <c r="P19" s="2518"/>
      <c r="Q19" s="821"/>
      <c r="R19" s="2518"/>
      <c r="S19" s="821"/>
      <c r="T19" s="2518"/>
      <c r="U19" s="821"/>
      <c r="V19" s="2518"/>
      <c r="W19" s="821"/>
      <c r="X19" s="2518"/>
      <c r="Y19" s="821"/>
      <c r="Z19" s="2518"/>
      <c r="AA19" s="821"/>
      <c r="AB19" s="2518"/>
      <c r="AC19" s="821"/>
      <c r="AD19" s="2518"/>
      <c r="AE19" s="821"/>
      <c r="AF19" s="2518"/>
      <c r="AG19" s="821"/>
      <c r="AH19" s="2518"/>
      <c r="AI19" s="821"/>
      <c r="AJ19" s="2518"/>
      <c r="AK19" s="821"/>
      <c r="AL19" s="2518"/>
      <c r="AM19" s="821"/>
      <c r="AN19" s="2518"/>
      <c r="AO19" s="821"/>
      <c r="AP19" s="2518"/>
      <c r="AQ19" s="821"/>
      <c r="AR19" s="2518"/>
      <c r="AS19" s="821"/>
      <c r="AT19" s="2518"/>
      <c r="AU19" s="821"/>
      <c r="AV19" s="2518"/>
      <c r="AW19" s="821"/>
      <c r="AX19" s="2518"/>
      <c r="AY19" s="821"/>
      <c r="AZ19" s="2518"/>
      <c r="BA19" s="821"/>
      <c r="BB19" s="2518"/>
      <c r="BC19" s="821"/>
      <c r="BD19" s="2518"/>
      <c r="BE19" s="821"/>
      <c r="BF19" s="2518"/>
      <c r="BG19" s="821"/>
      <c r="BH19" s="2518"/>
      <c r="BI19" s="821"/>
      <c r="BJ19" s="2518"/>
      <c r="BK19" s="821"/>
      <c r="BL19" s="2518"/>
      <c r="BM19" s="821"/>
      <c r="BN19" s="2518"/>
      <c r="BO19" s="821"/>
      <c r="BP19" s="2518"/>
      <c r="BQ19" s="821"/>
      <c r="BR19" s="2518"/>
      <c r="BS19" s="821"/>
      <c r="BT19" s="2518"/>
      <c r="BU19" s="821"/>
      <c r="BV19" s="2518"/>
      <c r="BW19" s="821"/>
      <c r="BX19" s="2518"/>
      <c r="BY19" s="821"/>
      <c r="BZ19" s="2518"/>
      <c r="CA19" s="821"/>
      <c r="CB19" s="2518"/>
      <c r="CC19" s="821"/>
      <c r="CD19" s="2518"/>
      <c r="CE19" s="821"/>
      <c r="CF19" s="2518"/>
      <c r="CG19" s="821"/>
      <c r="CH19" s="2518"/>
      <c r="CI19" s="683"/>
      <c r="CT19" s="509">
        <v>34</v>
      </c>
    </row>
    <row customHeight="1" ht="35.699999999999996">
      <c r="A20" s="509"/>
      <c r="C20" s="530"/>
      <c r="D20" s="1891" t="s">
        <v>470</v>
      </c>
      <c r="E20" s="563" t="s">
        <v>1019</v>
      </c>
      <c r="F20" s="525" t="s">
        <v>1020</v>
      </c>
      <c r="G20" s="821"/>
      <c r="H20" s="110"/>
      <c r="I20" s="821"/>
      <c r="J20" s="110"/>
      <c r="K20" s="821"/>
      <c r="L20" s="2518"/>
      <c r="M20" s="821"/>
      <c r="N20" s="2518"/>
      <c r="O20" s="821"/>
      <c r="P20" s="2518"/>
      <c r="Q20" s="821"/>
      <c r="R20" s="2518"/>
      <c r="S20" s="821"/>
      <c r="T20" s="2518"/>
      <c r="U20" s="821"/>
      <c r="V20" s="2518"/>
      <c r="W20" s="821"/>
      <c r="X20" s="2518"/>
      <c r="Y20" s="821"/>
      <c r="Z20" s="2518"/>
      <c r="AA20" s="821"/>
      <c r="AB20" s="2518"/>
      <c r="AC20" s="821"/>
      <c r="AD20" s="2518"/>
      <c r="AE20" s="821"/>
      <c r="AF20" s="2518"/>
      <c r="AG20" s="821"/>
      <c r="AH20" s="2518"/>
      <c r="AI20" s="821"/>
      <c r="AJ20" s="2518"/>
      <c r="AK20" s="821"/>
      <c r="AL20" s="2518"/>
      <c r="AM20" s="821"/>
      <c r="AN20" s="2518"/>
      <c r="AO20" s="821"/>
      <c r="AP20" s="2518"/>
      <c r="AQ20" s="821"/>
      <c r="AR20" s="2518"/>
      <c r="AS20" s="821"/>
      <c r="AT20" s="2518"/>
      <c r="AU20" s="821"/>
      <c r="AV20" s="2518"/>
      <c r="AW20" s="821"/>
      <c r="AX20" s="2518"/>
      <c r="AY20" s="821"/>
      <c r="AZ20" s="2518"/>
      <c r="BA20" s="821"/>
      <c r="BB20" s="2518"/>
      <c r="BC20" s="821"/>
      <c r="BD20" s="2518"/>
      <c r="BE20" s="821"/>
      <c r="BF20" s="2518"/>
      <c r="BG20" s="821"/>
      <c r="BH20" s="2518"/>
      <c r="BI20" s="821"/>
      <c r="BJ20" s="2518"/>
      <c r="BK20" s="821"/>
      <c r="BL20" s="2518"/>
      <c r="BM20" s="821"/>
      <c r="BN20" s="2518"/>
      <c r="BO20" s="821"/>
      <c r="BP20" s="2518"/>
      <c r="BQ20" s="821"/>
      <c r="BR20" s="2518"/>
      <c r="BS20" s="821"/>
      <c r="BT20" s="2518"/>
      <c r="BU20" s="821"/>
      <c r="BV20" s="2518"/>
      <c r="BW20" s="821"/>
      <c r="BX20" s="2518"/>
      <c r="BY20" s="821"/>
      <c r="BZ20" s="2518"/>
      <c r="CA20" s="821"/>
      <c r="CB20" s="2518"/>
      <c r="CC20" s="821"/>
      <c r="CD20" s="2518"/>
      <c r="CE20" s="821"/>
      <c r="CF20" s="2518"/>
      <c r="CG20" s="821"/>
      <c r="CH20" s="2518"/>
      <c r="CI20" s="683"/>
      <c r="CT20" s="509">
        <v>34</v>
      </c>
    </row>
    <row customHeight="1" ht="48.29999999999999">
      <c r="A21" s="509"/>
      <c r="C21" s="530"/>
      <c r="D21" s="1891" t="s">
        <v>472</v>
      </c>
      <c r="E21" s="563" t="s">
        <v>1021</v>
      </c>
      <c r="F21" s="525" t="s">
        <v>709</v>
      </c>
      <c r="G21" s="684"/>
      <c r="H21" s="110"/>
      <c r="I21" s="684"/>
      <c r="J21" s="110"/>
      <c r="K21" s="684"/>
      <c r="L21" s="2518"/>
      <c r="M21" s="684"/>
      <c r="N21" s="2518"/>
      <c r="O21" s="684"/>
      <c r="P21" s="2518"/>
      <c r="Q21" s="684"/>
      <c r="R21" s="2518"/>
      <c r="S21" s="684"/>
      <c r="T21" s="2518"/>
      <c r="U21" s="684"/>
      <c r="V21" s="2518"/>
      <c r="W21" s="684"/>
      <c r="X21" s="2518"/>
      <c r="Y21" s="684"/>
      <c r="Z21" s="2518"/>
      <c r="AA21" s="684"/>
      <c r="AB21" s="2518"/>
      <c r="AC21" s="684"/>
      <c r="AD21" s="2518"/>
      <c r="AE21" s="684"/>
      <c r="AF21" s="2518"/>
      <c r="AG21" s="684"/>
      <c r="AH21" s="2518"/>
      <c r="AI21" s="684"/>
      <c r="AJ21" s="2518"/>
      <c r="AK21" s="684"/>
      <c r="AL21" s="2518"/>
      <c r="AM21" s="684"/>
      <c r="AN21" s="2518"/>
      <c r="AO21" s="684"/>
      <c r="AP21" s="2518"/>
      <c r="AQ21" s="684"/>
      <c r="AR21" s="2518"/>
      <c r="AS21" s="684"/>
      <c r="AT21" s="2518"/>
      <c r="AU21" s="684"/>
      <c r="AV21" s="2518"/>
      <c r="AW21" s="684"/>
      <c r="AX21" s="2518"/>
      <c r="AY21" s="684"/>
      <c r="AZ21" s="2518"/>
      <c r="BA21" s="684"/>
      <c r="BB21" s="2518"/>
      <c r="BC21" s="684"/>
      <c r="BD21" s="2518"/>
      <c r="BE21" s="684"/>
      <c r="BF21" s="2518"/>
      <c r="BG21" s="684"/>
      <c r="BH21" s="2518"/>
      <c r="BI21" s="684"/>
      <c r="BJ21" s="2518"/>
      <c r="BK21" s="684"/>
      <c r="BL21" s="2518"/>
      <c r="BM21" s="684"/>
      <c r="BN21" s="2518"/>
      <c r="BO21" s="684"/>
      <c r="BP21" s="2518"/>
      <c r="BQ21" s="684"/>
      <c r="BR21" s="2518"/>
      <c r="BS21" s="684"/>
      <c r="BT21" s="2518"/>
      <c r="BU21" s="684"/>
      <c r="BV21" s="2518"/>
      <c r="BW21" s="684"/>
      <c r="BX21" s="2518"/>
      <c r="BY21" s="684"/>
      <c r="BZ21" s="2518"/>
      <c r="CA21" s="684"/>
      <c r="CB21" s="2518"/>
      <c r="CC21" s="684"/>
      <c r="CD21" s="2518"/>
      <c r="CE21" s="684"/>
      <c r="CF21" s="2518"/>
      <c r="CG21" s="684"/>
      <c r="CH21" s="2518"/>
      <c r="CI21" s="683"/>
      <c r="CT21" s="509">
        <v>46</v>
      </c>
    </row>
    <row customHeight="1" ht="67.5" hidden="1">
      <c r="A22" s="509"/>
      <c r="C22" s="530"/>
      <c r="D22" s="525">
        <v>5</v>
      </c>
      <c r="E22" s="283" t="s">
        <v>1495</v>
      </c>
      <c r="F22" s="525" t="s">
        <v>696</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685"/>
      <c r="AN22" s="1443"/>
      <c r="AO22" s="685"/>
      <c r="AP22" s="1443"/>
      <c r="AQ22" s="685"/>
      <c r="AR22" s="1443"/>
      <c r="AS22" s="685"/>
      <c r="AT22" s="1443"/>
      <c r="AU22" s="685"/>
      <c r="AV22" s="1443"/>
      <c r="AW22" s="685"/>
      <c r="AX22" s="1443"/>
      <c r="AY22" s="685"/>
      <c r="AZ22" s="1443"/>
      <c r="BA22" s="685"/>
      <c r="BB22" s="1443"/>
      <c r="BC22" s="685"/>
      <c r="BD22" s="1443"/>
      <c r="BE22" s="685"/>
      <c r="BF22" s="1443"/>
      <c r="BG22" s="685"/>
      <c r="BH22" s="1443"/>
      <c r="BI22" s="685"/>
      <c r="BJ22" s="1443"/>
      <c r="BK22" s="685"/>
      <c r="BL22" s="1443"/>
      <c r="BM22" s="685"/>
      <c r="BN22" s="1443"/>
      <c r="BO22" s="685"/>
      <c r="BP22" s="1443"/>
      <c r="BQ22" s="685"/>
      <c r="BR22" s="1443"/>
      <c r="BS22" s="685"/>
      <c r="BT22" s="1443"/>
      <c r="BU22" s="685"/>
      <c r="BV22" s="1443"/>
      <c r="BW22" s="685"/>
      <c r="BX22" s="1443"/>
      <c r="BY22" s="685"/>
      <c r="BZ22" s="1443"/>
      <c r="CA22" s="685"/>
      <c r="CB22" s="1443"/>
      <c r="CC22" s="685"/>
      <c r="CD22" s="1443"/>
      <c r="CE22" s="685"/>
      <c r="CF22" s="1443"/>
      <c r="CG22" s="685"/>
      <c r="CH22" s="1443"/>
      <c r="CI22" s="293" t="s">
        <v>1496</v>
      </c>
      <c r="CT22" s="509">
        <v>0</v>
      </c>
    </row>
    <row customHeight="1" ht="33.75" hidden="1">
      <c r="C23" s="455"/>
      <c r="D23" s="525">
        <v>6</v>
      </c>
      <c r="E23" s="283" t="s">
        <v>1497</v>
      </c>
      <c r="F23" s="525" t="s">
        <v>1498</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5"/>
      <c r="CE23" s="685"/>
      <c r="CF23" s="685"/>
      <c r="CG23" s="685"/>
      <c r="CH23" s="685"/>
      <c r="CI23" s="293" t="s">
        <v>1499</v>
      </c>
      <c r="CT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BS24" s="1639"/>
      <c r="BT24" s="1639"/>
      <c r="BU24" s="1639"/>
      <c r="BV24" s="1639"/>
      <c r="BW24" s="1639"/>
      <c r="BX24" s="1639"/>
      <c r="BY24" s="1639"/>
      <c r="BZ24" s="1639"/>
      <c r="CA24" s="1639"/>
      <c r="CB24" s="1639"/>
      <c r="CC24" s="1639"/>
      <c r="CD24" s="1639"/>
      <c r="CE24" s="1639"/>
      <c r="CF24" s="1639"/>
      <c r="CG24" s="1639"/>
      <c r="CH24" s="1639"/>
      <c r="CT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1639"/>
      <c r="BR25" s="1639"/>
      <c r="BS25" s="1639"/>
      <c r="BT25" s="1639"/>
      <c r="BU25" s="1639"/>
      <c r="BV25" s="1639"/>
      <c r="BW25" s="1639"/>
      <c r="BX25" s="1639"/>
      <c r="BY25" s="1639"/>
      <c r="BZ25" s="1639"/>
      <c r="CA25" s="1639"/>
      <c r="CB25" s="1639"/>
      <c r="CC25" s="1639"/>
      <c r="CD25" s="1639"/>
      <c r="CE25" s="1639"/>
      <c r="CF25" s="1639"/>
      <c r="CG25" s="1639"/>
      <c r="CH25" s="1639"/>
      <c r="CT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639"/>
      <c r="BW26" s="1639"/>
      <c r="BX26" s="1639"/>
      <c r="BY26" s="1639"/>
      <c r="BZ26" s="1639"/>
      <c r="CA26" s="1639"/>
      <c r="CB26" s="1639"/>
      <c r="CC26" s="1639"/>
      <c r="CD26" s="1639"/>
      <c r="CE26" s="1639"/>
      <c r="CF26" s="1639"/>
      <c r="CG26" s="1639"/>
      <c r="CH26" s="1639"/>
      <c r="CT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639"/>
      <c r="CG27" s="1639"/>
      <c r="CH27" s="1639"/>
      <c r="CT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639"/>
      <c r="BW28" s="1639"/>
      <c r="BX28" s="1639"/>
      <c r="BY28" s="1639"/>
      <c r="BZ28" s="1639"/>
      <c r="CA28" s="1639"/>
      <c r="CB28" s="1639"/>
      <c r="CC28" s="1639"/>
      <c r="CD28" s="1639"/>
      <c r="CE28" s="1639"/>
      <c r="CF28" s="1639"/>
      <c r="CG28" s="1639"/>
      <c r="CH28" s="1639"/>
      <c r="CT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639"/>
      <c r="CG29" s="1639"/>
      <c r="CH29" s="1639"/>
      <c r="CT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1639">
        <v>0</v>
      </c>
      <c r="AN30" s="1639">
        <v>0</v>
      </c>
      <c r="AO30" s="1639">
        <v>0</v>
      </c>
      <c r="AP30" s="1639">
        <v>0</v>
      </c>
      <c r="AQ30" s="1639">
        <v>0</v>
      </c>
      <c r="AR30" s="1639">
        <v>0</v>
      </c>
      <c r="AS30" s="1639">
        <v>0</v>
      </c>
      <c r="AT30" s="1639">
        <v>0</v>
      </c>
      <c r="AU30" s="1639">
        <v>0</v>
      </c>
      <c r="AV30" s="1639">
        <v>0</v>
      </c>
      <c r="AW30" s="1639">
        <v>0</v>
      </c>
      <c r="AX30" s="1639">
        <v>0</v>
      </c>
      <c r="AY30" s="1639">
        <v>0</v>
      </c>
      <c r="AZ30" s="1639">
        <v>0</v>
      </c>
      <c r="BA30" s="1639">
        <v>0</v>
      </c>
      <c r="BB30" s="1639">
        <v>0</v>
      </c>
      <c r="BC30" s="1639">
        <v>0</v>
      </c>
      <c r="BD30" s="1639">
        <v>0</v>
      </c>
      <c r="BE30" s="1639">
        <v>0</v>
      </c>
      <c r="BF30" s="1639">
        <v>0</v>
      </c>
      <c r="BG30" s="1639">
        <v>0</v>
      </c>
      <c r="BH30" s="1639">
        <v>0</v>
      </c>
      <c r="BI30" s="1639">
        <v>0</v>
      </c>
      <c r="BJ30" s="1639">
        <v>0</v>
      </c>
      <c r="BK30" s="1639">
        <v>0</v>
      </c>
      <c r="BL30" s="1639">
        <v>0</v>
      </c>
      <c r="BM30" s="1639">
        <v>0</v>
      </c>
      <c r="BN30" s="1639">
        <v>0</v>
      </c>
      <c r="BO30" s="1639">
        <v>0</v>
      </c>
      <c r="BP30" s="1639">
        <v>0</v>
      </c>
      <c r="BQ30" s="1639">
        <v>0</v>
      </c>
      <c r="BR30" s="1639">
        <v>0</v>
      </c>
      <c r="BS30" s="1639">
        <v>0</v>
      </c>
      <c r="BT30" s="1639">
        <v>0</v>
      </c>
      <c r="BU30" s="1639">
        <v>0</v>
      </c>
      <c r="BV30" s="1639">
        <v>0</v>
      </c>
      <c r="BW30" s="1639">
        <v>0</v>
      </c>
      <c r="BX30" s="1639">
        <v>0</v>
      </c>
      <c r="BY30" s="1639">
        <v>0</v>
      </c>
      <c r="BZ30" s="1639">
        <v>0</v>
      </c>
      <c r="CA30" s="1639">
        <v>0</v>
      </c>
      <c r="CB30" s="1639">
        <v>0</v>
      </c>
      <c r="CC30" s="1639">
        <v>0</v>
      </c>
      <c r="CD30" s="1639">
        <v>0</v>
      </c>
      <c r="CE30" s="1639">
        <v>0</v>
      </c>
      <c r="CF30" s="1639">
        <v>0</v>
      </c>
      <c r="CG30" s="1639">
        <v>0</v>
      </c>
      <c r="CH30" s="1639">
        <v>0</v>
      </c>
      <c r="CI30" s="421">
        <v>50</v>
      </c>
      <c r="CJ30" s="509">
        <v>10</v>
      </c>
      <c r="CK30" s="509">
        <v>10</v>
      </c>
      <c r="CL30" s="509">
        <v>10</v>
      </c>
      <c r="CM30" s="509">
        <v>10</v>
      </c>
      <c r="CN30" s="509">
        <v>10</v>
      </c>
      <c r="CO30" s="509">
        <v>10</v>
      </c>
      <c r="CP30" s="509">
        <v>10</v>
      </c>
      <c r="CQ30" s="509">
        <v>10</v>
      </c>
      <c r="CR30" s="509">
        <v>10</v>
      </c>
      <c r="CS30" s="679">
        <v>10</v>
      </c>
      <c r="CT30" s="509">
        <v>23</v>
      </c>
    </row>
  </sheetData>
  <sheetProtection formatColumns="0" formatRows="0" autoFilter="0" sort="0" insertRows="0" insertColumns="1" deleteRows="0" deleteColumns="0"/>
  <mergeCells count="127">
    <mergeCell ref="D5:J5"/>
    <mergeCell ref="D6:J6"/>
    <mergeCell ref="CI9:C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ADA828-B748-7658-85C8-C8A8EA1047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1500</v>
      </c>
      <c r="B1" s="1071" t="s">
        <v>1501</v>
      </c>
      <c r="C1" s="1071" t="s">
        <v>1502</v>
      </c>
      <c r="D1" s="1071" t="s">
        <v>1503</v>
      </c>
      <c r="E1" s="1071" t="s">
        <v>1504</v>
      </c>
      <c r="F1" s="1071" t="s">
        <v>1505</v>
      </c>
      <c r="G1" s="1071" t="s">
        <v>1506</v>
      </c>
      <c r="H1" s="1071" t="s">
        <v>1507</v>
      </c>
      <c r="I1" s="1071" t="s">
        <v>1508</v>
      </c>
      <c r="J1" s="1071" t="s">
        <v>1509</v>
      </c>
      <c r="K1" s="1071" t="s">
        <v>1510</v>
      </c>
      <c r="L1" s="1071" t="s">
        <v>1511</v>
      </c>
      <c r="M1" s="1071"/>
      <c r="N1" s="1071" t="s">
        <v>1512</v>
      </c>
      <c r="O1" s="1071" t="s">
        <v>1513</v>
      </c>
      <c r="P1" s="1071" t="s">
        <v>1514</v>
      </c>
      <c r="Q1" s="1071" t="s">
        <v>1515</v>
      </c>
      <c r="R1" s="1071" t="s">
        <v>1516</v>
      </c>
      <c r="S1" s="1071" t="s">
        <v>1517</v>
      </c>
      <c r="T1" s="1071" t="s">
        <v>1518</v>
      </c>
      <c r="U1" s="1071" t="s">
        <v>1519</v>
      </c>
      <c r="V1" s="1071"/>
      <c r="W1" s="801" t="s">
        <v>1520</v>
      </c>
      <c r="X1" s="1071" t="s">
        <v>1521</v>
      </c>
      <c r="Y1" s="1071" t="s">
        <v>1522</v>
      </c>
      <c r="Z1" s="1071"/>
      <c r="AA1" s="1071" t="s">
        <v>1523</v>
      </c>
      <c r="AB1" s="1071"/>
      <c r="AC1" s="1071" t="s">
        <v>1524</v>
      </c>
      <c r="AD1" s="1071"/>
      <c r="AF1" s="1071" t="s">
        <v>1525</v>
      </c>
      <c r="AH1" s="1071" t="s">
        <v>1526</v>
      </c>
      <c r="AI1" s="1071" t="s">
        <v>1527</v>
      </c>
      <c r="AK1" s="1071" t="s">
        <v>1528</v>
      </c>
      <c r="AM1" s="1071" t="s">
        <v>1529</v>
      </c>
      <c r="AP1" s="1071" t="s">
        <v>1530</v>
      </c>
      <c r="AQ1" s="1071" t="s">
        <v>1531</v>
      </c>
      <c r="AS1" s="1071" t="s">
        <v>1532</v>
      </c>
      <c r="AU1" s="1071" t="s">
        <v>1533</v>
      </c>
      <c r="AW1" s="1071" t="s">
        <v>1534</v>
      </c>
      <c r="AX1" s="1071" t="s">
        <v>1535</v>
      </c>
      <c r="AZ1" s="1156" t="s">
        <v>1536</v>
      </c>
      <c r="BB1" s="1071" t="s">
        <v>1537</v>
      </c>
      <c r="BC1" s="1071"/>
      <c r="BE1" s="1071" t="s">
        <v>1538</v>
      </c>
      <c r="BF1" s="1071" t="s">
        <v>1539</v>
      </c>
      <c r="BH1" s="1073" t="s">
        <v>1008</v>
      </c>
      <c r="BI1" s="1074"/>
      <c r="BJ1" s="1075" t="s">
        <v>1540</v>
      </c>
      <c r="BK1" s="1074"/>
      <c r="BL1" s="1076" t="s">
        <v>1108</v>
      </c>
      <c r="BM1" s="1074"/>
      <c r="BN1" s="1077" t="s">
        <v>1541</v>
      </c>
      <c r="BS1" s="1431"/>
    </row>
    <row customHeight="1" ht="11.25">
      <c r="A2" s="1078" t="s">
        <v>1542</v>
      </c>
      <c r="B2" s="1079">
        <v>2000</v>
      </c>
      <c r="C2" s="1079">
        <v>2022</v>
      </c>
      <c r="D2" s="1079" t="s">
        <v>64</v>
      </c>
      <c r="E2" s="1080" t="s">
        <v>1543</v>
      </c>
      <c r="F2" s="1080" t="s">
        <v>1544</v>
      </c>
      <c r="G2" s="1080" t="s">
        <v>1545</v>
      </c>
      <c r="H2" s="1081" t="s">
        <v>53</v>
      </c>
      <c r="I2" s="1080" t="s">
        <v>105</v>
      </c>
      <c r="J2" s="1080" t="s">
        <v>1546</v>
      </c>
      <c r="K2" s="1082" t="s">
        <v>1547</v>
      </c>
      <c r="L2" s="1083"/>
      <c r="M2" s="1082">
        <v>1</v>
      </c>
      <c r="N2" s="1166" t="s">
        <v>1548</v>
      </c>
      <c r="O2" s="1081" t="s">
        <v>1549</v>
      </c>
      <c r="P2" s="1084" t="s">
        <v>37</v>
      </c>
      <c r="Q2" s="1085" t="s">
        <v>1550</v>
      </c>
      <c r="R2" s="147" t="s">
        <v>1551</v>
      </c>
      <c r="S2" s="147" t="s">
        <v>1552</v>
      </c>
      <c r="T2" s="1086" t="s">
        <v>1553</v>
      </c>
      <c r="U2" s="1083" t="s">
        <v>1554</v>
      </c>
      <c r="V2" s="1087">
        <v>1</v>
      </c>
      <c r="W2" s="1088"/>
      <c r="X2" s="1088" t="s">
        <v>1555</v>
      </c>
      <c r="Y2" s="1079" t="s">
        <v>1556</v>
      </c>
      <c r="Z2" s="1089"/>
      <c r="AA2" s="1079" t="s">
        <v>1557</v>
      </c>
      <c r="AB2" s="1090" t="s">
        <v>1557</v>
      </c>
      <c r="AC2" s="1079" t="s">
        <v>1558</v>
      </c>
      <c r="AD2" s="1090" t="s">
        <v>1558</v>
      </c>
      <c r="AF2" s="1081" t="s">
        <v>1554</v>
      </c>
      <c r="AH2" s="1080" t="s">
        <v>1559</v>
      </c>
      <c r="AI2" s="1080" t="s">
        <v>1559</v>
      </c>
      <c r="AK2" s="1080" t="s">
        <v>1560</v>
      </c>
      <c r="AM2" s="1080" t="s">
        <v>1561</v>
      </c>
      <c r="AP2" s="1091" t="s">
        <v>1555</v>
      </c>
      <c r="AQ2" s="1092" t="s">
        <v>1555</v>
      </c>
      <c r="AS2" s="1079" t="s">
        <v>1562</v>
      </c>
      <c r="AU2" s="1124" t="s">
        <v>1563</v>
      </c>
      <c r="AW2" s="1124" t="s">
        <v>1564</v>
      </c>
      <c r="AX2" s="1124" t="s">
        <v>1564</v>
      </c>
      <c r="AZ2" s="1124" t="s">
        <v>1565</v>
      </c>
      <c r="BB2" s="1124" t="s">
        <v>1566</v>
      </c>
      <c r="BC2" s="1124" t="s">
        <v>1567</v>
      </c>
      <c r="BE2" s="2089" t="s">
        <v>1568</v>
      </c>
      <c r="BF2" s="2089" t="s">
        <v>1568</v>
      </c>
    </row>
    <row customHeight="1" ht="11.25">
      <c r="A3" s="1078" t="s">
        <v>1569</v>
      </c>
      <c r="B3" s="1079">
        <v>2001</v>
      </c>
      <c r="C3" s="1079">
        <v>2023</v>
      </c>
      <c r="D3" s="1079" t="s">
        <v>19</v>
      </c>
      <c r="E3" s="1080" t="s">
        <v>1570</v>
      </c>
      <c r="F3" s="1080" t="s">
        <v>1571</v>
      </c>
      <c r="G3" s="1080" t="s">
        <v>1572</v>
      </c>
      <c r="H3" s="1081" t="s">
        <v>1573</v>
      </c>
      <c r="I3" s="1080" t="s">
        <v>102</v>
      </c>
      <c r="J3" s="1080" t="s">
        <v>694</v>
      </c>
      <c r="K3" s="1082" t="s">
        <v>1574</v>
      </c>
      <c r="L3" s="1083">
        <f>_xlfn.IFERROR(MATCH(K3,OFFER_METHOD,0),0)</f>
        <v>0</v>
      </c>
      <c r="M3" s="1082">
        <v>2</v>
      </c>
      <c r="N3" s="1166" t="s">
        <v>1575</v>
      </c>
      <c r="O3" s="1081" t="s">
        <v>1576</v>
      </c>
      <c r="P3" s="1084" t="s">
        <v>1577</v>
      </c>
      <c r="Q3" s="1085" t="s">
        <v>1578</v>
      </c>
      <c r="R3" s="147" t="s">
        <v>1579</v>
      </c>
      <c r="S3" s="147" t="s">
        <v>1580</v>
      </c>
      <c r="T3" s="1086" t="s">
        <v>1581</v>
      </c>
      <c r="U3" s="1083" t="s">
        <v>1582</v>
      </c>
      <c r="V3" s="1087">
        <v>2</v>
      </c>
      <c r="W3" s="1088"/>
      <c r="X3" s="1088" t="s">
        <v>1583</v>
      </c>
      <c r="Y3" s="1079" t="s">
        <v>1556</v>
      </c>
      <c r="Z3" s="1089"/>
      <c r="AA3" s="1079" t="s">
        <v>1584</v>
      </c>
      <c r="AB3" s="1090" t="s">
        <v>1584</v>
      </c>
      <c r="AC3" s="1079" t="s">
        <v>1585</v>
      </c>
      <c r="AD3" s="1090" t="s">
        <v>1585</v>
      </c>
      <c r="AF3" s="1081" t="s">
        <v>1582</v>
      </c>
      <c r="AH3" s="1080" t="s">
        <v>1586</v>
      </c>
      <c r="AI3" s="1080" t="s">
        <v>1587</v>
      </c>
      <c r="AK3" s="1080" t="s">
        <v>1588</v>
      </c>
      <c r="AM3" s="1080" t="s">
        <v>1589</v>
      </c>
      <c r="AP3" s="1091" t="s">
        <v>1590</v>
      </c>
      <c r="AQ3" s="1092" t="s">
        <v>1590</v>
      </c>
      <c r="AS3" s="1079" t="s">
        <v>1591</v>
      </c>
      <c r="AU3" s="1124" t="s">
        <v>1592</v>
      </c>
      <c r="AW3" s="1124" t="s">
        <v>1593</v>
      </c>
      <c r="AX3" s="1124" t="s">
        <v>1593</v>
      </c>
      <c r="AZ3" s="1124" t="s">
        <v>1594</v>
      </c>
      <c r="BB3" s="1124" t="s">
        <v>1595</v>
      </c>
      <c r="BC3" s="1124" t="s">
        <v>1567</v>
      </c>
      <c r="BE3" s="2089" t="s">
        <v>1596</v>
      </c>
      <c r="BF3" s="2089" t="s">
        <v>1596</v>
      </c>
      <c r="BH3" s="1071" t="s">
        <v>1597</v>
      </c>
      <c r="BJ3" s="1071" t="s">
        <v>1598</v>
      </c>
      <c r="BL3" s="1071" t="s">
        <v>1599</v>
      </c>
      <c r="BN3" s="1071" t="s">
        <v>1600</v>
      </c>
      <c r="BR3" s="1071" t="s">
        <v>1601</v>
      </c>
      <c r="BS3" s="1432"/>
      <c r="BT3" s="1074"/>
      <c r="BU3" s="1071" t="s">
        <v>1602</v>
      </c>
      <c r="BV3" s="1074"/>
      <c r="BW3" s="1693"/>
      <c r="BX3" s="1695" t="s">
        <v>1603</v>
      </c>
      <c r="CA3" s="1071" t="s">
        <v>1604</v>
      </c>
    </row>
    <row customHeight="1" ht="11.25">
      <c r="A4" s="1078" t="s">
        <v>1605</v>
      </c>
      <c r="B4" s="1079">
        <v>2002</v>
      </c>
      <c r="C4" s="1079">
        <v>2024</v>
      </c>
      <c r="E4" s="1080" t="s">
        <v>1606</v>
      </c>
      <c r="F4" s="1080" t="s">
        <v>1607</v>
      </c>
      <c r="H4" s="1081" t="s">
        <v>1608</v>
      </c>
      <c r="I4" s="1080" t="s">
        <v>89</v>
      </c>
      <c r="J4" s="1080" t="s">
        <v>1609</v>
      </c>
      <c r="K4" s="1082" t="s">
        <v>1610</v>
      </c>
      <c r="L4" s="1083">
        <f>_xlfn.IFERROR(MATCH(K4,OFFER_METHOD,0),0)</f>
        <v>0</v>
      </c>
      <c r="M4" s="1082">
        <v>3</v>
      </c>
      <c r="N4" s="1166" t="s">
        <v>1611</v>
      </c>
      <c r="O4" s="1080" t="s">
        <v>1612</v>
      </c>
      <c r="Q4" s="1085" t="s">
        <v>1613</v>
      </c>
      <c r="R4" s="147" t="s">
        <v>1614</v>
      </c>
      <c r="S4" s="147" t="s">
        <v>1615</v>
      </c>
      <c r="T4" s="1086" t="s">
        <v>1616</v>
      </c>
      <c r="U4" s="1083" t="s">
        <v>1617</v>
      </c>
      <c r="V4" s="1087">
        <v>3</v>
      </c>
      <c r="W4" s="1088"/>
      <c r="X4" s="1088" t="s">
        <v>1618</v>
      </c>
      <c r="Y4" s="1079" t="s">
        <v>1556</v>
      </c>
      <c r="Z4" s="1095"/>
      <c r="AC4" s="1079" t="s">
        <v>1619</v>
      </c>
      <c r="AD4" s="1090" t="s">
        <v>1619</v>
      </c>
      <c r="AF4" s="1081" t="s">
        <v>1617</v>
      </c>
      <c r="AH4" s="1081" t="s">
        <v>1620</v>
      </c>
      <c r="AK4" s="1080" t="s">
        <v>1621</v>
      </c>
      <c r="AM4" s="1080" t="s">
        <v>1622</v>
      </c>
      <c r="AP4" s="1091" t="s">
        <v>1583</v>
      </c>
      <c r="AQ4" s="1092" t="s">
        <v>1583</v>
      </c>
      <c r="AS4" s="1079" t="s">
        <v>1623</v>
      </c>
      <c r="AU4" s="1124" t="s">
        <v>1624</v>
      </c>
      <c r="AW4" s="1124" t="s">
        <v>1625</v>
      </c>
      <c r="AX4" s="1124" t="s">
        <v>1625</v>
      </c>
      <c r="AZ4" s="1124" t="s">
        <v>1626</v>
      </c>
      <c r="BB4" s="1124" t="s">
        <v>1627</v>
      </c>
      <c r="BC4" s="1124" t="s">
        <v>1628</v>
      </c>
      <c r="BE4" s="1124">
        <v>2000</v>
      </c>
      <c r="BF4" s="1124" t="s">
        <v>1629</v>
      </c>
      <c r="BH4" s="1072" t="s">
        <v>1630</v>
      </c>
      <c r="BJ4" s="1072" t="s">
        <v>1630</v>
      </c>
      <c r="BL4" s="1072" t="s">
        <v>1630</v>
      </c>
      <c r="BN4" s="1072" t="s">
        <v>1630</v>
      </c>
      <c r="BQ4" s="1436" t="s">
        <v>1631</v>
      </c>
      <c r="BR4" s="1163" t="s">
        <v>1632</v>
      </c>
      <c r="BS4" s="278"/>
      <c r="BT4" s="1436" t="s">
        <v>1633</v>
      </c>
      <c r="BU4" s="1163" t="s">
        <v>1634</v>
      </c>
      <c r="BV4" s="1074"/>
      <c r="BW4" s="1700" t="s">
        <v>1635</v>
      </c>
      <c r="BX4" s="1694" t="s">
        <v>1636</v>
      </c>
      <c r="BZ4" s="1436" t="s">
        <v>1637</v>
      </c>
      <c r="CA4" s="1163" t="s">
        <v>1638</v>
      </c>
    </row>
    <row customHeight="1" ht="11.25">
      <c r="A5" s="1078" t="s">
        <v>1639</v>
      </c>
      <c r="B5" s="1079">
        <v>2003</v>
      </c>
      <c r="C5" s="1079">
        <v>2025</v>
      </c>
      <c r="E5" s="1080" t="s">
        <v>1640</v>
      </c>
      <c r="F5" s="1080" t="s">
        <v>1641</v>
      </c>
      <c r="H5" s="1081" t="s">
        <v>1642</v>
      </c>
      <c r="I5" s="1080" t="s">
        <v>90</v>
      </c>
      <c r="K5" s="1082" t="s">
        <v>1643</v>
      </c>
      <c r="L5" s="1083">
        <f>_xlfn.IFERROR(MATCH(K5,OFFER_METHOD,0),0)</f>
        <v>0</v>
      </c>
      <c r="M5" s="1082">
        <v>4</v>
      </c>
      <c r="N5" s="1096" t="s">
        <v>1644</v>
      </c>
      <c r="O5" s="1080" t="s">
        <v>1645</v>
      </c>
      <c r="Q5" s="1085" t="s">
        <v>1646</v>
      </c>
      <c r="R5" s="147" t="s">
        <v>1647</v>
      </c>
      <c r="T5" s="1081" t="s">
        <v>1648</v>
      </c>
      <c r="U5" s="1083" t="s">
        <v>1649</v>
      </c>
      <c r="V5" s="1087">
        <v>4</v>
      </c>
      <c r="W5" s="1088"/>
      <c r="X5" s="1088" t="s">
        <v>306</v>
      </c>
      <c r="Y5" s="1079" t="s">
        <v>1650</v>
      </c>
      <c r="Z5" s="1095">
        <v>1</v>
      </c>
      <c r="AF5" s="1081" t="s">
        <v>1651</v>
      </c>
      <c r="AH5" s="1080" t="s">
        <v>1652</v>
      </c>
      <c r="AK5" s="1080" t="s">
        <v>1653</v>
      </c>
      <c r="AM5" s="1080" t="s">
        <v>1654</v>
      </c>
      <c r="AP5" s="1091" t="s">
        <v>306</v>
      </c>
      <c r="AQ5" s="1092" t="s">
        <v>306</v>
      </c>
      <c r="AU5" s="1124" t="s">
        <v>1655</v>
      </c>
      <c r="AW5" s="1124" t="s">
        <v>1656</v>
      </c>
      <c r="AX5" s="1124" t="s">
        <v>1656</v>
      </c>
      <c r="AZ5" s="1124" t="s">
        <v>1657</v>
      </c>
      <c r="BB5" s="1124" t="s">
        <v>1658</v>
      </c>
      <c r="BC5" s="1124" t="s">
        <v>1659</v>
      </c>
      <c r="BE5" s="1124">
        <v>2001</v>
      </c>
      <c r="BF5" s="1124" t="s">
        <v>1660</v>
      </c>
      <c r="BH5" s="1072" t="s">
        <v>1312</v>
      </c>
      <c r="BJ5" s="1072" t="s">
        <v>1312</v>
      </c>
      <c r="BL5" s="1072" t="s">
        <v>1312</v>
      </c>
      <c r="BN5" s="1072" t="s">
        <v>1661</v>
      </c>
      <c r="BQ5" s="1285">
        <v>4213775</v>
      </c>
      <c r="BR5" s="1072" t="s">
        <v>1555</v>
      </c>
      <c r="BS5" s="1433"/>
      <c r="BT5" s="1285">
        <v>64236871</v>
      </c>
      <c r="BU5" s="1072" t="s">
        <v>367</v>
      </c>
      <c r="BV5" s="1074"/>
      <c r="BW5" s="1698">
        <v>4213767</v>
      </c>
      <c r="BX5" s="1696" t="s">
        <v>1662</v>
      </c>
      <c r="BZ5" s="1285">
        <v>64237509</v>
      </c>
      <c r="CA5" s="1299" t="s">
        <v>1663</v>
      </c>
    </row>
    <row customHeight="1" ht="11.25">
      <c r="A6" s="1078" t="s">
        <v>1664</v>
      </c>
      <c r="B6" s="1079">
        <v>2004</v>
      </c>
      <c r="C6" s="1079">
        <v>2026</v>
      </c>
      <c r="E6" s="1080" t="s">
        <v>1665</v>
      </c>
      <c r="F6" s="1097"/>
      <c r="H6" s="1081" t="s">
        <v>1666</v>
      </c>
      <c r="I6" s="1080" t="s">
        <v>120</v>
      </c>
      <c r="J6" s="1071" t="s">
        <v>1667</v>
      </c>
      <c r="L6" s="1083">
        <f>SUM(kind_of_control_method_filter)</f>
        <v>0</v>
      </c>
      <c r="N6" s="1096" t="s">
        <v>1668</v>
      </c>
      <c r="O6" s="1080" t="s">
        <v>1669</v>
      </c>
      <c r="R6" s="147" t="s">
        <v>1550</v>
      </c>
      <c r="T6" s="1081" t="s">
        <v>1670</v>
      </c>
      <c r="U6" s="1083" t="s">
        <v>1651</v>
      </c>
      <c r="V6" s="1087">
        <v>5</v>
      </c>
      <c r="W6" s="1088"/>
      <c r="X6" s="1079" t="s">
        <v>312</v>
      </c>
      <c r="Y6" s="1079" t="s">
        <v>1671</v>
      </c>
      <c r="Z6" s="1095"/>
      <c r="AA6" s="1098"/>
      <c r="AH6" s="1080" t="s">
        <v>1672</v>
      </c>
      <c r="AK6" s="1080" t="s">
        <v>1673</v>
      </c>
      <c r="AM6" s="1080" t="s">
        <v>1674</v>
      </c>
      <c r="AP6" s="1091" t="s">
        <v>312</v>
      </c>
      <c r="AQ6" s="1092" t="s">
        <v>312</v>
      </c>
      <c r="AU6" s="1124" t="s">
        <v>1675</v>
      </c>
      <c r="AW6" s="1124" t="s">
        <v>1676</v>
      </c>
      <c r="AX6" s="1124" t="s">
        <v>1676</v>
      </c>
      <c r="BB6" s="1124" t="s">
        <v>1677</v>
      </c>
      <c r="BC6" s="1124" t="s">
        <v>1659</v>
      </c>
      <c r="BE6" s="1124">
        <v>2002</v>
      </c>
      <c r="BF6" s="1124" t="s">
        <v>1678</v>
      </c>
      <c r="BH6" s="1072" t="s">
        <v>1679</v>
      </c>
      <c r="BJ6" s="1072" t="s">
        <v>1680</v>
      </c>
      <c r="BL6" s="1072" t="s">
        <v>1680</v>
      </c>
      <c r="BN6" s="1072" t="s">
        <v>1681</v>
      </c>
      <c r="BQ6" s="1285">
        <v>4213784</v>
      </c>
      <c r="BR6" s="1299" t="s">
        <v>1590</v>
      </c>
      <c r="BS6" s="1434"/>
      <c r="BT6" s="1285">
        <v>64236872</v>
      </c>
      <c r="BU6" s="1072" t="s">
        <v>372</v>
      </c>
      <c r="BV6" s="1074"/>
      <c r="BW6" s="1698">
        <v>4213768</v>
      </c>
      <c r="BX6" s="1696" t="s">
        <v>392</v>
      </c>
      <c r="BZ6" s="1285">
        <v>64237510</v>
      </c>
      <c r="CA6" s="1072" t="s">
        <v>1682</v>
      </c>
    </row>
    <row customHeight="1" ht="11.25">
      <c r="A7" s="1078" t="s">
        <v>1683</v>
      </c>
      <c r="B7" s="1079">
        <v>2005</v>
      </c>
      <c r="E7" s="1080" t="s">
        <v>1684</v>
      </c>
      <c r="F7" s="1097"/>
      <c r="H7" s="1081" t="s">
        <v>1685</v>
      </c>
      <c r="I7" s="1080" t="s">
        <v>91</v>
      </c>
      <c r="J7" s="1080" t="s">
        <v>1686</v>
      </c>
      <c r="N7" s="1100" t="s">
        <v>1687</v>
      </c>
      <c r="O7" s="1080" t="s">
        <v>1688</v>
      </c>
      <c r="U7" s="1083" t="s">
        <v>19</v>
      </c>
      <c r="V7" s="374" t="s">
        <v>91</v>
      </c>
      <c r="W7" s="1088"/>
      <c r="X7" s="1079" t="s">
        <v>318</v>
      </c>
      <c r="Y7" s="1079" t="s">
        <v>1650</v>
      </c>
      <c r="Z7" s="1095"/>
      <c r="AA7" s="1098"/>
      <c r="AH7" s="1080" t="s">
        <v>1689</v>
      </c>
      <c r="AK7" s="1080" t="s">
        <v>1690</v>
      </c>
      <c r="AM7" s="1080" t="s">
        <v>1691</v>
      </c>
      <c r="AP7" s="1091" t="s">
        <v>318</v>
      </c>
      <c r="AQ7" s="1092" t="s">
        <v>318</v>
      </c>
      <c r="AU7" s="1124" t="s">
        <v>1692</v>
      </c>
      <c r="AW7" s="1124" t="s">
        <v>1693</v>
      </c>
      <c r="AX7" s="1124" t="s">
        <v>1693</v>
      </c>
      <c r="AZ7" s="1071" t="s">
        <v>1694</v>
      </c>
      <c r="BB7" s="1124" t="s">
        <v>1695</v>
      </c>
      <c r="BC7" s="1124" t="s">
        <v>1659</v>
      </c>
      <c r="BE7" s="1124">
        <v>2003</v>
      </c>
      <c r="BF7" s="1124" t="s">
        <v>1696</v>
      </c>
      <c r="BH7" s="1072" t="s">
        <v>1697</v>
      </c>
      <c r="BJ7" s="1072" t="s">
        <v>1679</v>
      </c>
      <c r="BL7" s="1072" t="s">
        <v>1679</v>
      </c>
      <c r="BN7" s="1072" t="s">
        <v>1698</v>
      </c>
      <c r="BQ7" s="1285">
        <v>4213781</v>
      </c>
      <c r="BR7" s="1072" t="s">
        <v>1583</v>
      </c>
      <c r="BS7" s="1433"/>
      <c r="BT7" s="1285">
        <v>64236873</v>
      </c>
      <c r="BU7" s="1072" t="s">
        <v>377</v>
      </c>
      <c r="BV7" s="1074"/>
      <c r="BW7" s="1698">
        <v>4213769</v>
      </c>
      <c r="BX7" s="1696" t="s">
        <v>1699</v>
      </c>
      <c r="BZ7" s="1285">
        <v>64237511</v>
      </c>
      <c r="CA7" s="1072" t="s">
        <v>407</v>
      </c>
    </row>
    <row customHeight="1" ht="11.25">
      <c r="A8" s="1078" t="s">
        <v>1700</v>
      </c>
      <c r="B8" s="1079">
        <v>2006</v>
      </c>
      <c r="E8" s="1080" t="s">
        <v>1701</v>
      </c>
      <c r="F8" s="1097"/>
      <c r="H8" s="1081" t="s">
        <v>1702</v>
      </c>
      <c r="I8" s="1080" t="s">
        <v>92</v>
      </c>
      <c r="J8" s="1080" t="s">
        <v>1703</v>
      </c>
      <c r="N8" s="1167" t="s">
        <v>1704</v>
      </c>
      <c r="O8" s="1080" t="s">
        <v>1705</v>
      </c>
      <c r="V8" s="374" t="s">
        <v>92</v>
      </c>
      <c r="W8" s="1088"/>
      <c r="X8" s="1079" t="s">
        <v>324</v>
      </c>
      <c r="Y8" s="1079" t="s">
        <v>1650</v>
      </c>
      <c r="Z8" s="1095"/>
      <c r="AA8" s="1098"/>
      <c r="AK8" s="1080" t="s">
        <v>1706</v>
      </c>
      <c r="AP8" s="1091" t="s">
        <v>324</v>
      </c>
      <c r="AQ8" s="1092" t="s">
        <v>324</v>
      </c>
      <c r="AU8" s="1124" t="s">
        <v>1707</v>
      </c>
      <c r="AW8" s="1124" t="s">
        <v>1708</v>
      </c>
      <c r="AX8" s="1124" t="s">
        <v>1708</v>
      </c>
      <c r="AZ8" s="1124" t="s">
        <v>66</v>
      </c>
      <c r="BB8" s="1124" t="s">
        <v>1709</v>
      </c>
      <c r="BC8" s="1124" t="s">
        <v>1659</v>
      </c>
      <c r="BE8" s="1124">
        <v>2004</v>
      </c>
      <c r="BF8" s="1124" t="s">
        <v>1710</v>
      </c>
      <c r="BH8" s="1072" t="s">
        <v>1711</v>
      </c>
      <c r="BJ8" s="1072" t="s">
        <v>1324</v>
      </c>
      <c r="BL8" s="1072" t="s">
        <v>1324</v>
      </c>
      <c r="BN8" s="1072" t="s">
        <v>1344</v>
      </c>
      <c r="BQ8" s="1285">
        <v>4213776</v>
      </c>
      <c r="BR8" s="1072" t="s">
        <v>306</v>
      </c>
      <c r="BS8" s="1433"/>
      <c r="BT8" s="1285">
        <v>64236874</v>
      </c>
      <c r="BU8" s="1299" t="s">
        <v>1712</v>
      </c>
      <c r="BV8" s="1074"/>
      <c r="BW8" s="1698">
        <v>4213770</v>
      </c>
      <c r="BX8" s="1699" t="s">
        <v>1713</v>
      </c>
      <c r="BZ8" s="1285">
        <v>64237512</v>
      </c>
      <c r="CA8" s="1072" t="s">
        <v>402</v>
      </c>
    </row>
    <row customHeight="1" ht="11.25">
      <c r="A9" s="1078" t="s">
        <v>1714</v>
      </c>
      <c r="B9" s="1079">
        <v>2007</v>
      </c>
      <c r="E9" s="1080" t="s">
        <v>1715</v>
      </c>
      <c r="F9" s="1097"/>
      <c r="G9" s="1071" t="s">
        <v>1716</v>
      </c>
      <c r="H9" s="1071" t="s">
        <v>1717</v>
      </c>
      <c r="I9" s="1080" t="s">
        <v>133</v>
      </c>
      <c r="O9" s="1080" t="s">
        <v>1718</v>
      </c>
      <c r="V9" s="374" t="s">
        <v>133</v>
      </c>
      <c r="W9" s="1088"/>
      <c r="X9" s="1079" t="s">
        <v>330</v>
      </c>
      <c r="Y9" s="1079" t="s">
        <v>1556</v>
      </c>
      <c r="Z9" s="1095">
        <v>1</v>
      </c>
      <c r="AA9" s="1098"/>
      <c r="AK9" s="1080" t="s">
        <v>1719</v>
      </c>
      <c r="AP9" s="1091" t="s">
        <v>1720</v>
      </c>
      <c r="AQ9" s="1092" t="s">
        <v>1720</v>
      </c>
      <c r="AW9" s="1124" t="s">
        <v>1721</v>
      </c>
      <c r="AX9" s="1124" t="s">
        <v>1721</v>
      </c>
      <c r="AZ9" s="1124" t="s">
        <v>1722</v>
      </c>
      <c r="BB9" s="1124" t="s">
        <v>1723</v>
      </c>
      <c r="BC9" s="1124" t="s">
        <v>1659</v>
      </c>
      <c r="BE9" s="1124">
        <v>2005</v>
      </c>
      <c r="BF9" s="1124" t="s">
        <v>1724</v>
      </c>
      <c r="BH9" s="1072" t="s">
        <v>1725</v>
      </c>
      <c r="BJ9" s="1072" t="s">
        <v>1325</v>
      </c>
      <c r="BL9" s="1072" t="s">
        <v>1325</v>
      </c>
      <c r="BN9" s="1072" t="s">
        <v>1726</v>
      </c>
      <c r="BQ9" s="1285">
        <v>4213777</v>
      </c>
      <c r="BR9" s="1072" t="s">
        <v>312</v>
      </c>
      <c r="BS9" s="1433"/>
      <c r="BT9" s="1285">
        <v>64236875</v>
      </c>
      <c r="BU9" s="1072" t="s">
        <v>382</v>
      </c>
      <c r="BV9" s="1074"/>
      <c r="BW9" s="1693"/>
      <c r="BX9" s="1693"/>
    </row>
    <row customHeight="1" ht="11.25">
      <c r="A10" s="1078" t="s">
        <v>1727</v>
      </c>
      <c r="B10" s="1079">
        <v>2008</v>
      </c>
      <c r="E10" s="1080" t="s">
        <v>1728</v>
      </c>
      <c r="F10" s="1097"/>
      <c r="G10" s="1080" t="s">
        <v>1729</v>
      </c>
      <c r="H10" s="1080" t="s">
        <v>1730</v>
      </c>
      <c r="I10" s="1080" t="s">
        <v>148</v>
      </c>
      <c r="J10" s="1071" t="s">
        <v>1731</v>
      </c>
      <c r="K10" s="1071" t="s">
        <v>1732</v>
      </c>
      <c r="O10" s="1080" t="s">
        <v>1733</v>
      </c>
      <c r="V10" s="375" t="s">
        <v>148</v>
      </c>
      <c r="W10" s="1101"/>
      <c r="X10" s="1101" t="s">
        <v>1734</v>
      </c>
      <c r="Y10" s="1102" t="s">
        <v>1735</v>
      </c>
      <c r="Z10" s="1095"/>
      <c r="AP10" s="1091" t="s">
        <v>1734</v>
      </c>
      <c r="AQ10" s="1092" t="s">
        <v>1734</v>
      </c>
      <c r="AW10" s="1124" t="s">
        <v>1736</v>
      </c>
      <c r="AX10" s="1124" t="s">
        <v>1736</v>
      </c>
      <c r="AZ10" s="1124" t="s">
        <v>1445</v>
      </c>
      <c r="BB10" s="1124" t="s">
        <v>1737</v>
      </c>
      <c r="BC10" s="1124" t="s">
        <v>1659</v>
      </c>
      <c r="BE10" s="1124">
        <v>2006</v>
      </c>
      <c r="BF10" s="1124" t="s">
        <v>1738</v>
      </c>
      <c r="BH10" s="1072" t="s">
        <v>1739</v>
      </c>
      <c r="BJ10" s="1072" t="s">
        <v>1740</v>
      </c>
      <c r="BL10" s="1072" t="s">
        <v>1740</v>
      </c>
      <c r="BN10" s="1072" t="s">
        <v>1741</v>
      </c>
      <c r="BQ10" s="1285">
        <v>4213778</v>
      </c>
      <c r="BR10" s="1072" t="s">
        <v>318</v>
      </c>
      <c r="BS10" s="1433"/>
      <c r="BT10" s="1285">
        <v>64236876</v>
      </c>
      <c r="BU10" s="1072" t="s">
        <v>362</v>
      </c>
      <c r="BV10" s="1074"/>
      <c r="BW10" s="1693"/>
      <c r="BX10" s="1693"/>
    </row>
    <row customHeight="1" ht="11.25">
      <c r="A11" s="1078" t="s">
        <v>1742</v>
      </c>
      <c r="B11" s="1079">
        <v>2009</v>
      </c>
      <c r="E11" s="1080" t="s">
        <v>1743</v>
      </c>
      <c r="F11" s="1097"/>
      <c r="G11" s="1080" t="s">
        <v>1744</v>
      </c>
      <c r="H11" s="1080" t="s">
        <v>1745</v>
      </c>
      <c r="I11" s="1080" t="s">
        <v>155</v>
      </c>
      <c r="J11" s="1081" t="s">
        <v>1746</v>
      </c>
      <c r="K11" s="1103" t="s">
        <v>1747</v>
      </c>
      <c r="O11" s="1081" t="s">
        <v>1748</v>
      </c>
      <c r="V11" s="374" t="s">
        <v>155</v>
      </c>
      <c r="W11" s="279"/>
      <c r="X11" s="1088" t="s">
        <v>1720</v>
      </c>
      <c r="Y11" s="1079" t="s">
        <v>1749</v>
      </c>
      <c r="Z11" s="1095"/>
      <c r="AP11" s="1091" t="s">
        <v>330</v>
      </c>
      <c r="AQ11" s="1093" t="s">
        <v>330</v>
      </c>
      <c r="AW11" s="1124" t="s">
        <v>1750</v>
      </c>
      <c r="AX11" s="1124" t="s">
        <v>1750</v>
      </c>
      <c r="AZ11" s="1124" t="s">
        <v>1751</v>
      </c>
      <c r="BB11" s="1124" t="s">
        <v>1752</v>
      </c>
      <c r="BC11" s="1124" t="s">
        <v>1659</v>
      </c>
      <c r="BE11" s="1124">
        <v>2007</v>
      </c>
      <c r="BF11" s="1124" t="s">
        <v>1753</v>
      </c>
      <c r="BH11" s="1072" t="s">
        <v>1754</v>
      </c>
      <c r="BJ11" s="1072" t="s">
        <v>1725</v>
      </c>
      <c r="BL11" s="1072" t="s">
        <v>1725</v>
      </c>
      <c r="BN11" s="1072" t="s">
        <v>1755</v>
      </c>
      <c r="BQ11" s="1285">
        <v>4213780</v>
      </c>
      <c r="BR11" s="1072" t="s">
        <v>324</v>
      </c>
      <c r="BS11" s="1433"/>
      <c r="BW11" s="1693"/>
      <c r="BX11" s="1693"/>
    </row>
    <row customHeight="1" ht="11.25">
      <c r="A12" s="1078" t="s">
        <v>1756</v>
      </c>
      <c r="B12" s="1079">
        <v>2010</v>
      </c>
      <c r="E12" s="1080" t="s">
        <v>1757</v>
      </c>
      <c r="F12" s="1097"/>
      <c r="G12" s="1080" t="s">
        <v>1745</v>
      </c>
      <c r="I12" s="1080" t="s">
        <v>161</v>
      </c>
      <c r="J12" s="1081" t="s">
        <v>1758</v>
      </c>
      <c r="K12" s="1103" t="s">
        <v>1759</v>
      </c>
      <c r="O12" s="1081" t="s">
        <v>1550</v>
      </c>
      <c r="V12" s="374" t="s">
        <v>161</v>
      </c>
      <c r="W12" s="1093"/>
      <c r="X12" s="1088" t="s">
        <v>1760</v>
      </c>
      <c r="Y12" s="1079" t="s">
        <v>1556</v>
      </c>
      <c r="AP12" s="1091"/>
      <c r="AW12" s="1124" t="s">
        <v>155</v>
      </c>
      <c r="AX12" s="1124" t="s">
        <v>155</v>
      </c>
      <c r="AZ12" s="1124" t="s">
        <v>1761</v>
      </c>
      <c r="BB12" s="1124" t="s">
        <v>1762</v>
      </c>
      <c r="BC12" s="1124" t="s">
        <v>1659</v>
      </c>
      <c r="BE12" s="1124">
        <v>2008</v>
      </c>
      <c r="BF12" s="1124" t="s">
        <v>1763</v>
      </c>
      <c r="BH12" s="1072" t="s">
        <v>1764</v>
      </c>
      <c r="BJ12" s="1072" t="s">
        <v>1765</v>
      </c>
      <c r="BL12" s="1072" t="s">
        <v>1765</v>
      </c>
      <c r="BN12" s="1072" t="s">
        <v>1766</v>
      </c>
      <c r="BQ12" s="1285">
        <v>4213779</v>
      </c>
      <c r="BR12" s="1072" t="s">
        <v>1720</v>
      </c>
      <c r="BS12" s="1433"/>
      <c r="BT12" s="1074"/>
      <c r="BU12" s="1074"/>
      <c r="BV12" s="1074"/>
      <c r="BW12" s="1693"/>
      <c r="BX12" s="1693"/>
    </row>
    <row customHeight="1" ht="11.25">
      <c r="A13" s="1078" t="s">
        <v>1767</v>
      </c>
      <c r="B13" s="1079">
        <v>2011</v>
      </c>
      <c r="E13" s="1080" t="s">
        <v>1768</v>
      </c>
      <c r="F13" s="1097"/>
      <c r="I13" s="1080" t="s">
        <v>165</v>
      </c>
      <c r="K13" s="1103" t="s">
        <v>1719</v>
      </c>
      <c r="V13" s="374" t="s">
        <v>165</v>
      </c>
      <c r="W13" s="1093"/>
      <c r="X13" s="1093"/>
      <c r="Y13" s="1093"/>
      <c r="AW13" s="1124" t="s">
        <v>161</v>
      </c>
      <c r="AX13" s="1124" t="s">
        <v>161</v>
      </c>
      <c r="BB13" s="1124" t="s">
        <v>1769</v>
      </c>
      <c r="BC13" s="1124" t="s">
        <v>1770</v>
      </c>
      <c r="BE13" s="1124">
        <v>2009</v>
      </c>
      <c r="BF13" s="1124" t="s">
        <v>1771</v>
      </c>
      <c r="BH13" s="1072" t="s">
        <v>1772</v>
      </c>
      <c r="BJ13" s="1072" t="s">
        <v>1754</v>
      </c>
      <c r="BL13" s="1072" t="s">
        <v>1754</v>
      </c>
      <c r="BN13" s="1072" t="s">
        <v>1773</v>
      </c>
      <c r="BQ13" s="1285">
        <v>4213783</v>
      </c>
      <c r="BR13" s="1072" t="s">
        <v>1734</v>
      </c>
      <c r="BS13" s="1433"/>
      <c r="BT13" s="1074"/>
      <c r="BU13" s="1074"/>
      <c r="BV13" s="1074"/>
      <c r="BW13" s="1697"/>
      <c r="BX13" s="1693"/>
    </row>
    <row customHeight="1" ht="11.25">
      <c r="A14" s="1078" t="s">
        <v>1774</v>
      </c>
      <c r="B14" s="1079">
        <v>2012</v>
      </c>
      <c r="I14" s="1080" t="s">
        <v>292</v>
      </c>
      <c r="J14" s="1071" t="s">
        <v>1775</v>
      </c>
      <c r="N14" s="1071" t="s">
        <v>1776</v>
      </c>
      <c r="V14" s="1087">
        <v>13</v>
      </c>
      <c r="W14" s="1088"/>
      <c r="X14" s="1088" t="s">
        <v>1590</v>
      </c>
      <c r="Y14" s="1079" t="s">
        <v>1556</v>
      </c>
      <c r="AW14" s="1124" t="s">
        <v>165</v>
      </c>
      <c r="AX14" s="1124" t="s">
        <v>165</v>
      </c>
      <c r="AZ14" s="1071" t="s">
        <v>1777</v>
      </c>
      <c r="BB14" s="1124" t="s">
        <v>1778</v>
      </c>
      <c r="BC14" s="1124" t="s">
        <v>1770</v>
      </c>
      <c r="BE14" s="1124">
        <v>2010</v>
      </c>
      <c r="BF14" s="1124" t="s">
        <v>1779</v>
      </c>
      <c r="BH14" s="1072" t="s">
        <v>1698</v>
      </c>
      <c r="BJ14" s="1221" t="s">
        <v>1780</v>
      </c>
      <c r="BL14" s="1221" t="s">
        <v>1780</v>
      </c>
      <c r="BN14" s="1072" t="s">
        <v>1781</v>
      </c>
      <c r="BQ14" s="1285">
        <v>4213782</v>
      </c>
      <c r="BR14" s="1072" t="s">
        <v>330</v>
      </c>
      <c r="BS14" s="1433"/>
      <c r="BT14" s="1074"/>
      <c r="BU14" s="1074"/>
      <c r="BV14" s="1074"/>
      <c r="BW14" s="1697"/>
      <c r="BX14" s="1693"/>
    </row>
    <row customHeight="1" ht="19.5">
      <c r="A15" s="1078" t="s">
        <v>1782</v>
      </c>
      <c r="B15" s="1079">
        <v>2013</v>
      </c>
      <c r="E15" s="1701" t="s">
        <v>1783</v>
      </c>
      <c r="G15" s="1071" t="s">
        <v>1784</v>
      </c>
      <c r="H15" s="1071" t="s">
        <v>1785</v>
      </c>
      <c r="I15" s="1082" t="s">
        <v>293</v>
      </c>
      <c r="J15" s="1093" t="s">
        <v>729</v>
      </c>
      <c r="N15" s="1162" t="s">
        <v>1786</v>
      </c>
      <c r="X15" s="1091"/>
      <c r="AW15" s="1124" t="s">
        <v>292</v>
      </c>
      <c r="AX15" s="1124" t="s">
        <v>292</v>
      </c>
      <c r="AZ15" s="1124" t="s">
        <v>66</v>
      </c>
      <c r="BB15" s="1124" t="s">
        <v>1787</v>
      </c>
      <c r="BC15" s="1124" t="s">
        <v>1770</v>
      </c>
      <c r="BE15" s="1124">
        <v>2011</v>
      </c>
      <c r="BF15" s="1124" t="s">
        <v>1302</v>
      </c>
      <c r="BH15" s="1072" t="s">
        <v>1344</v>
      </c>
      <c r="BJ15" s="1221" t="s">
        <v>1788</v>
      </c>
      <c r="BL15" s="1221" t="s">
        <v>1788</v>
      </c>
      <c r="BN15" s="1072" t="s">
        <v>1789</v>
      </c>
      <c r="BR15" s="1074"/>
      <c r="BS15" s="1435"/>
      <c r="BT15" s="1074"/>
      <c r="BU15" s="1074"/>
      <c r="BV15" s="1074"/>
      <c r="BW15" s="1697"/>
      <c r="BX15" s="1693"/>
    </row>
    <row customHeight="1" ht="21">
      <c r="A16" s="1871" t="s">
        <v>1790</v>
      </c>
      <c r="B16" s="1079">
        <v>2014</v>
      </c>
      <c r="E16" s="1702" t="s">
        <v>1791</v>
      </c>
      <c r="G16" s="1080" t="s">
        <v>1792</v>
      </c>
      <c r="H16" s="1080" t="s">
        <v>1793</v>
      </c>
      <c r="I16" s="1082" t="s">
        <v>1794</v>
      </c>
      <c r="J16" s="1093" t="s">
        <v>694</v>
      </c>
      <c r="N16" s="1162" t="s">
        <v>1795</v>
      </c>
      <c r="AW16" s="1124" t="s">
        <v>293</v>
      </c>
      <c r="AX16" s="1124" t="s">
        <v>293</v>
      </c>
      <c r="AZ16" s="1124" t="s">
        <v>1722</v>
      </c>
      <c r="BB16" s="1124" t="s">
        <v>1796</v>
      </c>
      <c r="BC16" s="1124" t="s">
        <v>1770</v>
      </c>
      <c r="BE16" s="1124">
        <v>2012</v>
      </c>
      <c r="BH16" s="1072" t="s">
        <v>1726</v>
      </c>
      <c r="BJ16" s="1221" t="s">
        <v>1797</v>
      </c>
      <c r="BL16" s="1221" t="s">
        <v>1797</v>
      </c>
      <c r="BN16" s="1072" t="s">
        <v>1798</v>
      </c>
      <c r="BR16" s="1074"/>
      <c r="BS16" s="1435"/>
      <c r="BT16" s="1074"/>
      <c r="BU16" s="1074"/>
      <c r="BV16" s="1074"/>
      <c r="BW16" s="1697"/>
      <c r="BX16" s="1693"/>
    </row>
    <row customHeight="1" ht="21">
      <c r="A17" s="1078" t="s">
        <v>1799</v>
      </c>
      <c r="B17" s="1079">
        <v>2015</v>
      </c>
      <c r="G17" s="1080" t="s">
        <v>1745</v>
      </c>
      <c r="H17" s="1080" t="s">
        <v>1745</v>
      </c>
      <c r="I17" s="1080" t="s">
        <v>130</v>
      </c>
      <c r="N17" s="1162" t="s">
        <v>1800</v>
      </c>
      <c r="X17" s="1091"/>
      <c r="AW17" s="1124" t="s">
        <v>1794</v>
      </c>
      <c r="AX17" s="1124" t="s">
        <v>1794</v>
      </c>
      <c r="AZ17" s="1124" t="s">
        <v>1801</v>
      </c>
      <c r="BB17" s="1124" t="s">
        <v>1802</v>
      </c>
      <c r="BC17" s="1124" t="s">
        <v>1659</v>
      </c>
      <c r="BE17" s="1124">
        <v>2013</v>
      </c>
      <c r="BH17" s="1072" t="s">
        <v>1741</v>
      </c>
      <c r="BJ17" s="1221" t="s">
        <v>1803</v>
      </c>
      <c r="BL17" s="1221" t="s">
        <v>1803</v>
      </c>
      <c r="BN17" s="1072" t="s">
        <v>1804</v>
      </c>
      <c r="BR17" s="1071" t="s">
        <v>1601</v>
      </c>
      <c r="BS17" s="1432"/>
      <c r="BU17" s="1071" t="s">
        <v>1805</v>
      </c>
      <c r="BV17" s="1074"/>
      <c r="BW17" s="1693"/>
      <c r="BX17" s="1695" t="s">
        <v>1806</v>
      </c>
      <c r="CA17" s="1071" t="s">
        <v>1807</v>
      </c>
      <c r="CD17" s="1071" t="s">
        <v>1808</v>
      </c>
    </row>
    <row customHeight="1" ht="21">
      <c r="A18" s="1078" t="s">
        <v>1809</v>
      </c>
      <c r="B18" s="1079">
        <v>2016</v>
      </c>
      <c r="E18" s="2006" t="s">
        <v>1810</v>
      </c>
      <c r="I18" s="1080" t="s">
        <v>1811</v>
      </c>
      <c r="N18" s="1162" t="s">
        <v>1812</v>
      </c>
      <c r="X18" s="1091"/>
      <c r="AW18" s="1124" t="s">
        <v>130</v>
      </c>
      <c r="AX18" s="1124" t="s">
        <v>130</v>
      </c>
      <c r="BB18" s="1124" t="s">
        <v>1813</v>
      </c>
      <c r="BC18" s="1124" t="s">
        <v>1659</v>
      </c>
      <c r="BE18" s="1124">
        <v>2014</v>
      </c>
      <c r="BH18" s="1072" t="s">
        <v>1755</v>
      </c>
      <c r="BJ18" s="1221" t="s">
        <v>1814</v>
      </c>
      <c r="BL18" s="1221" t="s">
        <v>1814</v>
      </c>
      <c r="BN18" s="1072" t="s">
        <v>1815</v>
      </c>
      <c r="BQ18" s="1436" t="s">
        <v>1631</v>
      </c>
      <c r="BR18" s="1163" t="s">
        <v>1632</v>
      </c>
      <c r="BS18" s="278"/>
      <c r="BT18" s="1436" t="s">
        <v>1816</v>
      </c>
      <c r="BU18" s="1163" t="s">
        <v>1817</v>
      </c>
      <c r="BV18" s="1074"/>
      <c r="BW18" s="1700" t="s">
        <v>1818</v>
      </c>
      <c r="BX18" s="1694" t="s">
        <v>1819</v>
      </c>
      <c r="BZ18" s="1436" t="s">
        <v>1820</v>
      </c>
      <c r="CA18" s="1163" t="s">
        <v>1821</v>
      </c>
      <c r="CC18" s="1436" t="s">
        <v>1822</v>
      </c>
      <c r="CD18" s="1163" t="s">
        <v>1823</v>
      </c>
    </row>
    <row customHeight="1" ht="21">
      <c r="A19" s="1871" t="s">
        <v>1824</v>
      </c>
      <c r="B19" s="1079">
        <v>2017</v>
      </c>
      <c r="E19" s="1078" t="s">
        <v>305</v>
      </c>
      <c r="I19" s="1080" t="s">
        <v>1825</v>
      </c>
      <c r="N19" s="1162" t="s">
        <v>1826</v>
      </c>
      <c r="X19" s="1091"/>
      <c r="AW19" s="1124" t="s">
        <v>1811</v>
      </c>
      <c r="AX19" s="1124" t="s">
        <v>1811</v>
      </c>
      <c r="AZ19" s="1071" t="s">
        <v>1827</v>
      </c>
      <c r="BB19" s="1124" t="s">
        <v>1828</v>
      </c>
      <c r="BC19" s="1124" t="s">
        <v>1659</v>
      </c>
      <c r="BE19" s="1124">
        <v>2015</v>
      </c>
      <c r="BH19" s="1072" t="s">
        <v>1829</v>
      </c>
      <c r="BJ19" s="1221" t="s">
        <v>1830</v>
      </c>
      <c r="BL19" s="1221" t="s">
        <v>1830</v>
      </c>
      <c r="BQ19" s="1285">
        <v>4190064</v>
      </c>
      <c r="BR19" s="1072" t="s">
        <v>1831</v>
      </c>
      <c r="BS19" s="1433"/>
      <c r="BT19" s="1285">
        <v>4189671</v>
      </c>
      <c r="BU19" s="1072" t="s">
        <v>1832</v>
      </c>
      <c r="BV19" s="1074"/>
      <c r="BW19" s="1698">
        <v>4189706</v>
      </c>
      <c r="BX19" s="1696" t="s">
        <v>1833</v>
      </c>
      <c r="BZ19" s="1285">
        <v>4189714</v>
      </c>
      <c r="CA19" s="1072" t="s">
        <v>1834</v>
      </c>
      <c r="CC19" s="1285">
        <v>4189708</v>
      </c>
      <c r="CD19" s="1072" t="s">
        <v>1835</v>
      </c>
    </row>
    <row customHeight="1" ht="21">
      <c r="A20" s="1078" t="s">
        <v>1836</v>
      </c>
      <c r="B20" s="1079">
        <v>2018</v>
      </c>
      <c r="E20" s="1078" t="s">
        <v>1590</v>
      </c>
      <c r="I20" s="1080" t="s">
        <v>1837</v>
      </c>
      <c r="N20" s="1162" t="s">
        <v>1838</v>
      </c>
      <c r="AW20" s="1124" t="s">
        <v>1825</v>
      </c>
      <c r="AX20" s="1124" t="s">
        <v>1825</v>
      </c>
      <c r="AZ20" s="1124" t="s">
        <v>1839</v>
      </c>
      <c r="BB20" s="1124" t="s">
        <v>1840</v>
      </c>
      <c r="BC20" s="1124" t="s">
        <v>1770</v>
      </c>
      <c r="BE20" s="1124">
        <v>2016</v>
      </c>
      <c r="BH20" s="1072" t="s">
        <v>1766</v>
      </c>
      <c r="BJ20" s="1072" t="s">
        <v>1698</v>
      </c>
      <c r="BL20" s="1072" t="s">
        <v>1698</v>
      </c>
      <c r="BQ20" s="1285">
        <v>4190065</v>
      </c>
      <c r="BR20" s="1072" t="s">
        <v>1841</v>
      </c>
      <c r="BS20" s="1433"/>
      <c r="BT20" s="1285">
        <v>4189672</v>
      </c>
      <c r="BU20" s="1072" t="s">
        <v>1842</v>
      </c>
      <c r="BV20" s="1074"/>
      <c r="BW20" s="1698">
        <v>4189705</v>
      </c>
      <c r="BX20" s="1696" t="s">
        <v>1843</v>
      </c>
      <c r="BZ20" s="1285">
        <v>4189713</v>
      </c>
      <c r="CA20" s="1072" t="s">
        <v>1843</v>
      </c>
      <c r="CC20" s="1285">
        <v>4189709</v>
      </c>
      <c r="CD20" s="1072" t="s">
        <v>1844</v>
      </c>
    </row>
    <row customHeight="1" ht="21">
      <c r="A21" s="1078" t="s">
        <v>1845</v>
      </c>
      <c r="B21" s="1079">
        <v>2019</v>
      </c>
      <c r="I21" s="1080" t="s">
        <v>1846</v>
      </c>
      <c r="N21" s="1162" t="s">
        <v>1847</v>
      </c>
      <c r="AW21" s="1124" t="s">
        <v>1837</v>
      </c>
      <c r="AX21" s="1124" t="s">
        <v>1837</v>
      </c>
      <c r="AZ21" s="1124" t="s">
        <v>1848</v>
      </c>
      <c r="BB21" s="1124" t="s">
        <v>1849</v>
      </c>
      <c r="BC21" s="1124" t="s">
        <v>1659</v>
      </c>
      <c r="BE21" s="1124">
        <v>2017</v>
      </c>
      <c r="BH21" s="1072" t="s">
        <v>1773</v>
      </c>
      <c r="BJ21" s="1072" t="s">
        <v>1344</v>
      </c>
      <c r="BL21" s="1072" t="s">
        <v>1344</v>
      </c>
      <c r="BQ21" s="1285">
        <v>4190066</v>
      </c>
      <c r="BR21" s="1072" t="s">
        <v>1850</v>
      </c>
      <c r="BS21" s="1433"/>
      <c r="BT21" s="1285">
        <v>4189673</v>
      </c>
      <c r="BU21" s="1072" t="s">
        <v>1851</v>
      </c>
      <c r="BV21" s="1074"/>
      <c r="BW21" s="1698">
        <v>4189707</v>
      </c>
      <c r="BX21" s="1696" t="s">
        <v>1852</v>
      </c>
      <c r="BZ21" s="1285">
        <v>4189712</v>
      </c>
      <c r="CA21" s="1072" t="s">
        <v>1853</v>
      </c>
      <c r="CC21" s="1285">
        <v>4189710</v>
      </c>
      <c r="CD21" s="1072" t="s">
        <v>1854</v>
      </c>
    </row>
    <row customHeight="1" ht="21">
      <c r="A22" s="1078" t="s">
        <v>1855</v>
      </c>
      <c r="B22" s="1079">
        <v>2020</v>
      </c>
      <c r="N22" s="1162" t="s">
        <v>1856</v>
      </c>
      <c r="AW22" s="1124" t="s">
        <v>1846</v>
      </c>
      <c r="AX22" s="1124" t="s">
        <v>1846</v>
      </c>
      <c r="AZ22" s="1124" t="s">
        <v>1857</v>
      </c>
      <c r="BB22" s="1124" t="s">
        <v>1858</v>
      </c>
      <c r="BC22" s="1124" t="s">
        <v>1659</v>
      </c>
      <c r="BE22" s="1124">
        <v>2018</v>
      </c>
      <c r="BH22" s="1072" t="s">
        <v>1781</v>
      </c>
      <c r="BJ22" s="1072" t="s">
        <v>1726</v>
      </c>
      <c r="BL22" s="1072" t="s">
        <v>1726</v>
      </c>
      <c r="BQ22" s="1285">
        <v>4190067</v>
      </c>
      <c r="BR22" s="1072" t="s">
        <v>1859</v>
      </c>
      <c r="BS22" s="1433"/>
      <c r="BT22" s="1285">
        <v>4189674</v>
      </c>
      <c r="BU22" s="1072" t="s">
        <v>1860</v>
      </c>
      <c r="BV22" s="1074"/>
      <c r="BW22" s="1074"/>
      <c r="CC22" s="1285">
        <v>4189711</v>
      </c>
      <c r="CD22" s="1072" t="s">
        <v>431</v>
      </c>
    </row>
    <row customHeight="1" ht="21">
      <c r="A23" s="1078" t="s">
        <v>1861</v>
      </c>
      <c r="B23" s="1079">
        <v>2021</v>
      </c>
      <c r="AW23" s="1124" t="s">
        <v>1862</v>
      </c>
      <c r="AX23" s="1124" t="s">
        <v>1862</v>
      </c>
      <c r="AZ23" s="1124" t="s">
        <v>1863</v>
      </c>
      <c r="BB23" s="1124" t="s">
        <v>1864</v>
      </c>
      <c r="BC23" s="1124" t="s">
        <v>1567</v>
      </c>
      <c r="BE23" s="1124">
        <v>2019</v>
      </c>
      <c r="BH23" s="1072" t="s">
        <v>1789</v>
      </c>
      <c r="BJ23" s="1072" t="s">
        <v>1741</v>
      </c>
      <c r="BL23" s="1072" t="s">
        <v>1741</v>
      </c>
      <c r="BQ23" s="1285">
        <v>4190068</v>
      </c>
      <c r="BR23" s="1072" t="s">
        <v>1865</v>
      </c>
      <c r="BS23" s="1433"/>
      <c r="BT23" s="1285">
        <v>4189675</v>
      </c>
      <c r="BU23" s="1072" t="s">
        <v>1866</v>
      </c>
      <c r="BV23" s="1074"/>
      <c r="BW23" s="1074"/>
      <c r="CC23" s="1285">
        <v>5110778</v>
      </c>
      <c r="CD23" s="1072" t="s">
        <v>1867</v>
      </c>
    </row>
    <row customHeight="1" ht="21">
      <c r="A24" s="1078" t="s">
        <v>1868</v>
      </c>
      <c r="B24" s="1079">
        <v>2022</v>
      </c>
      <c r="AW24" s="1124" t="s">
        <v>1869</v>
      </c>
      <c r="AX24" s="1124" t="s">
        <v>1869</v>
      </c>
      <c r="AZ24" s="1124" t="s">
        <v>1870</v>
      </c>
      <c r="BB24" s="1124" t="s">
        <v>1871</v>
      </c>
      <c r="BC24" s="1124" t="s">
        <v>1872</v>
      </c>
      <c r="BE24" s="1124">
        <v>2020</v>
      </c>
      <c r="BH24" s="1072" t="s">
        <v>1798</v>
      </c>
      <c r="BJ24" s="1072" t="s">
        <v>1755</v>
      </c>
      <c r="BL24" s="1072" t="s">
        <v>1755</v>
      </c>
      <c r="BQ24" s="1285">
        <v>4190069</v>
      </c>
      <c r="BR24" s="1072" t="s">
        <v>1873</v>
      </c>
      <c r="BS24" s="1433"/>
      <c r="BT24" s="1285">
        <v>4189676</v>
      </c>
      <c r="BU24" s="1072" t="s">
        <v>1874</v>
      </c>
      <c r="BV24" s="1074"/>
      <c r="BW24" s="1074"/>
      <c r="CC24" s="1285">
        <v>25575374</v>
      </c>
      <c r="CD24" s="1072" t="s">
        <v>1875</v>
      </c>
    </row>
    <row customHeight="1" ht="11.25">
      <c r="A25" s="1078" t="s">
        <v>1876</v>
      </c>
      <c r="B25" s="1079">
        <v>2023</v>
      </c>
      <c r="AW25" s="1124" t="s">
        <v>1877</v>
      </c>
      <c r="AX25" s="1124" t="s">
        <v>1877</v>
      </c>
      <c r="AZ25" s="1124" t="s">
        <v>1186</v>
      </c>
      <c r="BB25" s="1124" t="s">
        <v>1878</v>
      </c>
      <c r="BC25" s="1124" t="s">
        <v>1872</v>
      </c>
      <c r="BE25" s="1124">
        <v>2021</v>
      </c>
      <c r="BH25" s="1072" t="s">
        <v>1804</v>
      </c>
      <c r="BJ25" s="1072" t="s">
        <v>1829</v>
      </c>
      <c r="BL25" s="1072" t="s">
        <v>1829</v>
      </c>
      <c r="BQ25" s="1285">
        <v>4190070</v>
      </c>
      <c r="BR25" s="1072" t="s">
        <v>1879</v>
      </c>
      <c r="BS25" s="1433"/>
      <c r="BT25" s="1285">
        <v>4189677</v>
      </c>
      <c r="BU25" s="1072" t="s">
        <v>1880</v>
      </c>
      <c r="BV25" s="1074"/>
      <c r="BW25" s="1074"/>
    </row>
    <row customHeight="1" ht="11.25">
      <c r="A26" s="1078" t="s">
        <v>1881</v>
      </c>
      <c r="B26" s="1079">
        <v>2024</v>
      </c>
      <c r="J26" s="1734" t="s">
        <v>1882</v>
      </c>
      <c r="AX26" s="1124" t="s">
        <v>1883</v>
      </c>
      <c r="AZ26" s="1124" t="s">
        <v>1748</v>
      </c>
      <c r="BB26" s="1124" t="s">
        <v>1884</v>
      </c>
      <c r="BC26" s="1124" t="s">
        <v>1872</v>
      </c>
      <c r="BE26" s="1124">
        <v>2022</v>
      </c>
      <c r="BH26" s="1072" t="s">
        <v>1815</v>
      </c>
      <c r="BJ26" s="1072" t="s">
        <v>1766</v>
      </c>
      <c r="BL26" s="1072" t="s">
        <v>1766</v>
      </c>
      <c r="BQ26" s="1285">
        <v>4190071</v>
      </c>
      <c r="BR26" s="1072" t="s">
        <v>1885</v>
      </c>
      <c r="BS26" s="1433"/>
      <c r="BV26" s="1074"/>
      <c r="BW26" s="1074"/>
    </row>
    <row customHeight="1" ht="11.25">
      <c r="A27" s="1078" t="s">
        <v>1886</v>
      </c>
      <c r="B27" s="1079">
        <v>2025</v>
      </c>
      <c r="J27" s="180" t="s">
        <v>103</v>
      </c>
      <c r="AX27" s="1124" t="s">
        <v>1887</v>
      </c>
      <c r="BB27" s="1124" t="s">
        <v>1888</v>
      </c>
      <c r="BC27" s="1124" t="s">
        <v>1872</v>
      </c>
      <c r="BE27" s="1124">
        <v>2023</v>
      </c>
      <c r="BH27" s="1074" t="s">
        <v>22</v>
      </c>
      <c r="BJ27" s="1072" t="s">
        <v>1773</v>
      </c>
      <c r="BL27" s="1072" t="s">
        <v>1773</v>
      </c>
      <c r="BN27" s="1074" t="s">
        <v>22</v>
      </c>
      <c r="BQ27" s="1285">
        <v>4190072</v>
      </c>
      <c r="BR27" s="1072" t="s">
        <v>1889</v>
      </c>
      <c r="BS27" s="1433"/>
      <c r="BV27" s="1074"/>
      <c r="BW27" s="1074"/>
    </row>
    <row customHeight="1" ht="11.25">
      <c r="A28" s="1078" t="s">
        <v>1890</v>
      </c>
      <c r="D28" s="1105"/>
      <c r="E28" s="1106"/>
      <c r="F28" s="1106"/>
      <c r="H28" s="1107" t="s">
        <v>1891</v>
      </c>
      <c r="AX28" s="1124" t="s">
        <v>1892</v>
      </c>
      <c r="AZ28" s="1071" t="s">
        <v>1893</v>
      </c>
      <c r="BB28" s="1124" t="s">
        <v>1894</v>
      </c>
      <c r="BC28" s="1124" t="s">
        <v>1895</v>
      </c>
      <c r="BE28" s="1124">
        <v>2024</v>
      </c>
      <c r="BH28" s="1074" t="s">
        <v>22</v>
      </c>
      <c r="BJ28" s="1072" t="s">
        <v>1781</v>
      </c>
      <c r="BL28" s="1072" t="s">
        <v>1781</v>
      </c>
      <c r="BN28" s="1074" t="s">
        <v>22</v>
      </c>
      <c r="BQ28" s="1285">
        <v>4190073</v>
      </c>
      <c r="BR28" s="1072" t="s">
        <v>1896</v>
      </c>
      <c r="BS28" s="1433"/>
      <c r="BV28" s="1074"/>
      <c r="BW28" s="1074"/>
    </row>
    <row customHeight="1" ht="11.25">
      <c r="A29" s="1078" t="s">
        <v>1897</v>
      </c>
      <c r="D29" s="1108" t="s">
        <v>1898</v>
      </c>
      <c r="E29" s="1109" t="str">
        <f>IF(TEMPLATE_GROUP="","",INDEX(StartDateList,MATCH(TEMPLATE_GROUP,CodeTemplateList,0),1))</f>
        <v>01.01.2024</v>
      </c>
      <c r="F29" s="1109" t="str">
        <f>IF(TEMPLATE_GROUP="","",INDEX(EndDateList,MATCH(TEMPLATE_GROUP,CodeTemplateList,0),1))</f>
        <v>31.12.2024</v>
      </c>
      <c r="H29" s="1110" t="s">
        <v>1899</v>
      </c>
      <c r="AX29" s="1124" t="s">
        <v>1900</v>
      </c>
      <c r="AZ29" s="1124" t="s">
        <v>1551</v>
      </c>
      <c r="BB29" s="1124" t="s">
        <v>1748</v>
      </c>
      <c r="BC29" s="1095"/>
      <c r="BE29" s="1124">
        <v>2025</v>
      </c>
      <c r="BJ29" s="1072" t="s">
        <v>1789</v>
      </c>
      <c r="BL29" s="1072" t="s">
        <v>1789</v>
      </c>
    </row>
    <row customHeight="1" ht="11.25">
      <c r="A30" s="1078" t="s">
        <v>1901</v>
      </c>
      <c r="D30" s="1111"/>
      <c r="E30" s="1112"/>
      <c r="F30" s="1112"/>
      <c r="AX30" s="1124" t="s">
        <v>157</v>
      </c>
      <c r="AZ30" s="1124" t="s">
        <v>1579</v>
      </c>
      <c r="BE30" s="1124">
        <v>2026</v>
      </c>
      <c r="BJ30" s="1072" t="s">
        <v>1902</v>
      </c>
      <c r="BL30" s="1072" t="s">
        <v>1902</v>
      </c>
    </row>
    <row customHeight="1" ht="12.75">
      <c r="A31" s="1078" t="s">
        <v>1903</v>
      </c>
      <c r="D31" s="1105"/>
      <c r="E31" s="1106"/>
      <c r="F31" s="1106"/>
      <c r="H31" s="1113"/>
      <c r="AX31" s="1124" t="s">
        <v>1904</v>
      </c>
      <c r="AZ31" s="1124" t="s">
        <v>1905</v>
      </c>
      <c r="BE31" s="1124">
        <v>2027</v>
      </c>
      <c r="BJ31" s="1072" t="s">
        <v>1906</v>
      </c>
      <c r="BL31" s="1072" t="s">
        <v>1906</v>
      </c>
    </row>
    <row customHeight="1" ht="11.25">
      <c r="A32" s="1078" t="s">
        <v>1907</v>
      </c>
      <c r="D32" s="1108" t="s">
        <v>1908</v>
      </c>
      <c r="E32" s="1109" t="str">
        <f>IF(TEMPLATE_GROUP="","",INDEX(StartDateList,MATCH(TEMPLATE_GROUP,CodeTemplateList,0),1))</f>
        <v>01.01.2024</v>
      </c>
      <c r="F32" s="1109" t="str">
        <f>IF(TEMPLATE_GROUP="","",INDEX(EndDateList,MATCH(TEMPLATE_GROUP,CodeTemplateList,0),1))</f>
        <v>31.12.2024</v>
      </c>
      <c r="H32" s="1114" t="s">
        <v>1909</v>
      </c>
      <c r="O32" s="1078" t="s">
        <v>1549</v>
      </c>
      <c r="AX32" s="1124" t="s">
        <v>1910</v>
      </c>
      <c r="AZ32" s="1124" t="s">
        <v>1647</v>
      </c>
      <c r="BE32" s="1124">
        <v>2028</v>
      </c>
      <c r="BJ32" s="1072" t="s">
        <v>1798</v>
      </c>
      <c r="BL32" s="1072" t="s">
        <v>1798</v>
      </c>
    </row>
    <row customHeight="1" ht="11.25">
      <c r="A33" s="1078" t="s">
        <v>1911</v>
      </c>
      <c r="O33" s="1078" t="s">
        <v>1576</v>
      </c>
      <c r="AX33" s="1124" t="s">
        <v>1912</v>
      </c>
      <c r="AZ33" s="1124" t="s">
        <v>1550</v>
      </c>
      <c r="BE33" s="1124">
        <v>2029</v>
      </c>
      <c r="BJ33" s="1072" t="s">
        <v>1804</v>
      </c>
      <c r="BL33" s="1072" t="s">
        <v>1804</v>
      </c>
    </row>
    <row customHeight="1" ht="11.25">
      <c r="A34" s="1078" t="s">
        <v>1913</v>
      </c>
      <c r="O34" s="1078" t="s">
        <v>1612</v>
      </c>
      <c r="AX34" s="1124" t="s">
        <v>1914</v>
      </c>
      <c r="BE34" s="1124">
        <v>2030</v>
      </c>
      <c r="BJ34" s="1072" t="s">
        <v>1815</v>
      </c>
      <c r="BL34" s="1072" t="s">
        <v>1815</v>
      </c>
    </row>
    <row customHeight="1" ht="11.25">
      <c r="A35" s="1078" t="s">
        <v>1915</v>
      </c>
      <c r="O35" s="1078" t="s">
        <v>1645</v>
      </c>
      <c r="AX35" s="1124" t="s">
        <v>1916</v>
      </c>
      <c r="AZ35" s="1071" t="s">
        <v>1917</v>
      </c>
      <c r="BE35" s="1124">
        <v>2031</v>
      </c>
      <c r="BL35" s="1072" t="s">
        <v>1918</v>
      </c>
    </row>
    <row customHeight="1" ht="11.25">
      <c r="A36" s="1871" t="s">
        <v>1919</v>
      </c>
      <c r="D36" s="1115" t="s">
        <v>1920</v>
      </c>
      <c r="E36" s="1116" t="s">
        <v>1054</v>
      </c>
      <c r="F36" s="1117" t="str">
        <f>INDEX(E37:E41,MATCH(TEMPLATE_SPHERE,F37:F41,0))</f>
        <v>холодного водоснабжения</v>
      </c>
      <c r="G36" s="1117" t="str">
        <f>INDEX(G37:G41,MATCH(TEMPLATE_SPHERE,F37:F41,0))</f>
        <v>холодное водоснабжение</v>
      </c>
      <c r="O36" s="1078" t="s">
        <v>1669</v>
      </c>
      <c r="AX36" s="1124" t="s">
        <v>1921</v>
      </c>
      <c r="AZ36" s="1124" t="s">
        <v>1550</v>
      </c>
      <c r="BE36" s="1124">
        <v>2032</v>
      </c>
      <c r="BL36" s="1072" t="s">
        <v>1922</v>
      </c>
    </row>
    <row customHeight="1" ht="11.25">
      <c r="A37" s="1078" t="s">
        <v>1923</v>
      </c>
      <c r="E37" s="411" t="s">
        <v>1924</v>
      </c>
      <c r="F37" s="1118" t="s">
        <v>1008</v>
      </c>
      <c r="G37" s="411" t="s">
        <v>1925</v>
      </c>
      <c r="O37" s="1078" t="s">
        <v>1688</v>
      </c>
      <c r="AX37" s="1124" t="s">
        <v>1926</v>
      </c>
      <c r="AZ37" s="1124" t="s">
        <v>1578</v>
      </c>
      <c r="BE37" s="1124">
        <v>2033</v>
      </c>
    </row>
    <row customHeight="1" ht="11.25">
      <c r="A38" s="1078" t="s">
        <v>1927</v>
      </c>
      <c r="E38" s="411" t="s">
        <v>1928</v>
      </c>
      <c r="F38" s="1119" t="s">
        <v>1054</v>
      </c>
      <c r="G38" s="411" t="s">
        <v>1929</v>
      </c>
      <c r="O38" s="1078" t="s">
        <v>1705</v>
      </c>
      <c r="AX38" s="1124" t="s">
        <v>1930</v>
      </c>
      <c r="AZ38" s="1124" t="s">
        <v>1613</v>
      </c>
      <c r="BE38" s="1124">
        <v>2034</v>
      </c>
      <c r="BH38" s="1071" t="s">
        <v>1931</v>
      </c>
      <c r="BJ38" s="1071" t="s">
        <v>1932</v>
      </c>
      <c r="BL38" s="1071" t="s">
        <v>1933</v>
      </c>
      <c r="BN38" s="1071" t="s">
        <v>1934</v>
      </c>
    </row>
    <row customHeight="1" ht="11.25">
      <c r="A39" s="1078" t="s">
        <v>1935</v>
      </c>
      <c r="E39" s="411" t="s">
        <v>1936</v>
      </c>
      <c r="F39" s="1119" t="s">
        <v>1108</v>
      </c>
      <c r="G39" s="411" t="s">
        <v>1937</v>
      </c>
      <c r="O39" s="1078" t="s">
        <v>1718</v>
      </c>
      <c r="AX39" s="1124" t="s">
        <v>1938</v>
      </c>
      <c r="AZ39" s="1124" t="s">
        <v>1646</v>
      </c>
      <c r="BE39" s="1124">
        <v>2035</v>
      </c>
      <c r="BH39" s="1072" t="s">
        <v>1939</v>
      </c>
      <c r="BJ39" s="1221" t="s">
        <v>1939</v>
      </c>
      <c r="BL39" s="1221" t="s">
        <v>1939</v>
      </c>
      <c r="BN39" s="1072" t="s">
        <v>1940</v>
      </c>
    </row>
    <row customHeight="1" ht="11.25">
      <c r="A40" s="1078" t="s">
        <v>1941</v>
      </c>
      <c r="E40" s="411" t="s">
        <v>1942</v>
      </c>
      <c r="F40" s="1119" t="s">
        <v>1095</v>
      </c>
      <c r="G40" s="411" t="s">
        <v>1943</v>
      </c>
      <c r="O40" s="1078" t="s">
        <v>1733</v>
      </c>
      <c r="AX40" s="1124" t="s">
        <v>1944</v>
      </c>
      <c r="BE40" s="1124">
        <v>2036</v>
      </c>
      <c r="BH40" s="1072" t="s">
        <v>1945</v>
      </c>
      <c r="BJ40" s="1221" t="s">
        <v>1357</v>
      </c>
      <c r="BL40" s="1221" t="s">
        <v>1357</v>
      </c>
      <c r="BN40" s="1072" t="s">
        <v>1391</v>
      </c>
    </row>
    <row customHeight="1" ht="11.25">
      <c r="A41" s="1078" t="s">
        <v>1946</v>
      </c>
      <c r="E41" s="411" t="s">
        <v>1947</v>
      </c>
      <c r="F41" s="1119" t="s">
        <v>1948</v>
      </c>
      <c r="G41" s="411" t="s">
        <v>1947</v>
      </c>
      <c r="O41" s="1078" t="s">
        <v>1748</v>
      </c>
      <c r="AX41" s="1124" t="s">
        <v>1949</v>
      </c>
      <c r="AZ41" s="1071" t="s">
        <v>1950</v>
      </c>
      <c r="BE41" s="1124">
        <v>2037</v>
      </c>
      <c r="BH41" s="1072" t="s">
        <v>1951</v>
      </c>
      <c r="BJ41" s="1221" t="s">
        <v>1353</v>
      </c>
      <c r="BL41" s="1221" t="s">
        <v>1353</v>
      </c>
      <c r="BN41" s="1072" t="s">
        <v>1378</v>
      </c>
    </row>
    <row customHeight="1" ht="11.25">
      <c r="A42" s="1078" t="s">
        <v>1952</v>
      </c>
      <c r="AX42" s="1124" t="s">
        <v>1953</v>
      </c>
      <c r="AZ42" s="1124" t="s">
        <v>1549</v>
      </c>
      <c r="BE42" s="1124">
        <v>2038</v>
      </c>
      <c r="BH42" s="1072" t="s">
        <v>1375</v>
      </c>
      <c r="BJ42" s="1221" t="s">
        <v>1355</v>
      </c>
      <c r="BL42" s="1221" t="s">
        <v>1355</v>
      </c>
      <c r="BN42" s="1072" t="s">
        <v>1954</v>
      </c>
    </row>
    <row customHeight="1" ht="11.25">
      <c r="A43" s="1078" t="s">
        <v>1955</v>
      </c>
      <c r="AX43" s="1124" t="s">
        <v>1956</v>
      </c>
      <c r="AZ43" s="1124" t="s">
        <v>1576</v>
      </c>
      <c r="BE43" s="1124">
        <v>2039</v>
      </c>
      <c r="BH43" s="1072" t="s">
        <v>1957</v>
      </c>
      <c r="BJ43" s="1221" t="s">
        <v>1951</v>
      </c>
      <c r="BL43" s="1221" t="s">
        <v>1951</v>
      </c>
      <c r="BN43" s="1072" t="s">
        <v>1958</v>
      </c>
    </row>
    <row customHeight="1" ht="11.25">
      <c r="A44" s="1078" t="s">
        <v>1959</v>
      </c>
      <c r="G44" s="1098">
        <f>YEAR(TODAY())</f>
        <v>2025</v>
      </c>
      <c r="I44" s="803" t="s">
        <v>1960</v>
      </c>
      <c r="J44" s="1093" t="s">
        <v>1961</v>
      </c>
      <c r="K44" s="1093" t="s">
        <v>1962</v>
      </c>
      <c r="AX44" s="1124" t="s">
        <v>1963</v>
      </c>
      <c r="AZ44" s="1124" t="s">
        <v>1612</v>
      </c>
      <c r="BE44" s="1124">
        <v>2040</v>
      </c>
      <c r="BH44" s="1072" t="s">
        <v>1964</v>
      </c>
      <c r="BJ44" s="1221" t="s">
        <v>1375</v>
      </c>
      <c r="BL44" s="1221" t="s">
        <v>1375</v>
      </c>
      <c r="BN44" s="1072" t="s">
        <v>1965</v>
      </c>
    </row>
    <row customHeight="1" ht="11.25">
      <c r="A45" s="1078" t="s">
        <v>1966</v>
      </c>
      <c r="D45" s="1115" t="s">
        <v>1967</v>
      </c>
      <c r="E45" s="1116" t="s">
        <v>1968</v>
      </c>
      <c r="F45" s="801" t="s">
        <v>1969</v>
      </c>
      <c r="G45" s="800" t="s">
        <v>1970</v>
      </c>
      <c r="H45" s="803" t="s">
        <v>1971</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1972</v>
      </c>
      <c r="AZ45" s="1124" t="s">
        <v>1645</v>
      </c>
      <c r="BE45" s="1124">
        <v>2041</v>
      </c>
      <c r="BH45" s="1072" t="s">
        <v>1973</v>
      </c>
      <c r="BJ45" s="1221" t="s">
        <v>1369</v>
      </c>
      <c r="BL45" s="1221" t="s">
        <v>1369</v>
      </c>
      <c r="BN45" s="1072" t="s">
        <v>1974</v>
      </c>
    </row>
    <row customHeight="1" ht="11.25">
      <c r="A46" s="1078" t="s">
        <v>1975</v>
      </c>
      <c r="E46" s="411" t="s">
        <v>27</v>
      </c>
      <c r="F46" s="1118" t="s">
        <v>1976</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4" t="s">
        <v>1977</v>
      </c>
      <c r="AZ46" s="1124" t="s">
        <v>1669</v>
      </c>
      <c r="BE46" s="1124">
        <v>2042</v>
      </c>
      <c r="BH46" s="1072" t="s">
        <v>1378</v>
      </c>
      <c r="BJ46" s="1221" t="s">
        <v>1359</v>
      </c>
      <c r="BL46" s="1221" t="s">
        <v>1359</v>
      </c>
      <c r="BN46" s="1072" t="s">
        <v>1978</v>
      </c>
    </row>
    <row customHeight="1" ht="11.25">
      <c r="A47" s="1078" t="s">
        <v>1979</v>
      </c>
      <c r="E47" s="411" t="s">
        <v>33</v>
      </c>
      <c r="F47" s="1119" t="s">
        <v>1980</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4" t="s">
        <v>122</v>
      </c>
      <c r="AZ47" s="1124" t="s">
        <v>1688</v>
      </c>
      <c r="BE47" s="1124">
        <v>2043</v>
      </c>
      <c r="BH47" s="1072" t="s">
        <v>1954</v>
      </c>
      <c r="BJ47" s="1221" t="s">
        <v>1361</v>
      </c>
      <c r="BL47" s="1221" t="s">
        <v>1361</v>
      </c>
      <c r="BN47" s="1072" t="s">
        <v>1981</v>
      </c>
    </row>
    <row customHeight="1" ht="11.25">
      <c r="A48" s="1078" t="s">
        <v>1982</v>
      </c>
      <c r="E48" s="411" t="s">
        <v>1983</v>
      </c>
      <c r="F48" s="1119" t="s">
        <v>1968</v>
      </c>
      <c r="G48" s="1120" t="str">
        <f>_xlfn.IFERROR(IF(f_year="","01.01."&amp;CURRENT_YEAR,"01.01."&amp;f_year),"01.01."&amp;CURRENT_YEAR)</f>
        <v>01.01.2024</v>
      </c>
      <c r="H48" s="1120" t="str">
        <f>_xlfn.IFERROR(IF(f_year="","31.12."&amp;CURRENT_YEAR,"31.12."&amp;f_year),"31.12."&amp;CURRENT_YEAR)</f>
        <v>31.12.2024</v>
      </c>
      <c r="I48" s="1745">
        <f>IF(f_year="",TRUE,FALSE)</f>
        <v>0</v>
      </c>
      <c r="J48" s="1748" t="s">
        <v>1984</v>
      </c>
      <c r="K48" s="1749"/>
      <c r="AX48" s="1124" t="s">
        <v>1985</v>
      </c>
      <c r="AZ48" s="1124" t="s">
        <v>1705</v>
      </c>
      <c r="BE48" s="1124">
        <v>2044</v>
      </c>
      <c r="BH48" s="1072" t="s">
        <v>1958</v>
      </c>
      <c r="BJ48" s="1221" t="s">
        <v>1363</v>
      </c>
      <c r="BL48" s="1221" t="s">
        <v>1363</v>
      </c>
      <c r="BN48" s="1072" t="s">
        <v>1986</v>
      </c>
    </row>
    <row customHeight="1" ht="11.25">
      <c r="A49" s="1078" t="s">
        <v>16</v>
      </c>
      <c r="E49" s="411" t="s">
        <v>1987</v>
      </c>
      <c r="F49" s="1119" t="s">
        <v>1988</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4" t="s">
        <v>1989</v>
      </c>
      <c r="AZ49" s="1124" t="s">
        <v>1718</v>
      </c>
      <c r="BE49" s="1124">
        <v>2045</v>
      </c>
      <c r="BH49" s="1072" t="s">
        <v>1379</v>
      </c>
      <c r="BJ49" s="1221" t="s">
        <v>1365</v>
      </c>
      <c r="BL49" s="1221" t="s">
        <v>1365</v>
      </c>
    </row>
    <row customHeight="1" ht="11.25">
      <c r="A50" s="1078" t="s">
        <v>1990</v>
      </c>
      <c r="E50" s="411" t="s">
        <v>1991</v>
      </c>
      <c r="F50" s="1119" t="s">
        <v>1349</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4" t="s">
        <v>1992</v>
      </c>
      <c r="AZ50" s="1124" t="s">
        <v>1733</v>
      </c>
      <c r="BE50" s="1124">
        <v>2046</v>
      </c>
      <c r="BH50" s="1072" t="s">
        <v>1965</v>
      </c>
      <c r="BJ50" s="1221" t="s">
        <v>1367</v>
      </c>
      <c r="BL50" s="1221" t="s">
        <v>1367</v>
      </c>
    </row>
    <row customHeight="1" ht="11.25">
      <c r="A51" s="1078" t="s">
        <v>1993</v>
      </c>
      <c r="E51" s="411" t="s">
        <v>1994</v>
      </c>
      <c r="F51" s="1119" t="s">
        <v>1995</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1996</v>
      </c>
      <c r="AZ51" s="1124" t="s">
        <v>1748</v>
      </c>
      <c r="BE51" s="1124">
        <v>2047</v>
      </c>
      <c r="BH51" s="1072" t="s">
        <v>1974</v>
      </c>
      <c r="BJ51" s="1221" t="s">
        <v>1997</v>
      </c>
      <c r="BL51" s="1221" t="s">
        <v>1997</v>
      </c>
    </row>
    <row customHeight="1" ht="11.25">
      <c r="A52" s="1078" t="s">
        <v>1998</v>
      </c>
      <c r="E52" s="411" t="s">
        <v>1999</v>
      </c>
      <c r="F52" s="1119" t="s">
        <v>2000</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4" t="s">
        <v>2001</v>
      </c>
      <c r="AZ52" s="1124" t="s">
        <v>1550</v>
      </c>
      <c r="BE52" s="1124">
        <v>2048</v>
      </c>
      <c r="BH52" s="1072" t="s">
        <v>1978</v>
      </c>
      <c r="BJ52" s="1221" t="s">
        <v>1378</v>
      </c>
      <c r="BL52" s="1221" t="s">
        <v>1378</v>
      </c>
    </row>
    <row customHeight="1" ht="11.25">
      <c r="A53" s="1078" t="s">
        <v>2002</v>
      </c>
      <c r="E53" s="411" t="s">
        <v>2003</v>
      </c>
      <c r="F53" s="1119" t="s">
        <v>2003</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2004</v>
      </c>
      <c r="K53" s="1749"/>
      <c r="AX53" s="1124" t="s">
        <v>2005</v>
      </c>
      <c r="BE53" s="1124">
        <v>2049</v>
      </c>
      <c r="BH53" s="1072" t="s">
        <v>1981</v>
      </c>
      <c r="BJ53" s="1221" t="s">
        <v>1954</v>
      </c>
      <c r="BL53" s="1221" t="s">
        <v>1954</v>
      </c>
    </row>
    <row customHeight="1" ht="11.25">
      <c r="A54" s="1078" t="s">
        <v>2006</v>
      </c>
      <c r="AX54" s="1124" t="s">
        <v>2007</v>
      </c>
      <c r="AZ54" s="1071" t="s">
        <v>2008</v>
      </c>
      <c r="BE54" s="1124">
        <v>2050</v>
      </c>
      <c r="BH54" s="1072" t="s">
        <v>1986</v>
      </c>
      <c r="BJ54" s="1221" t="s">
        <v>1958</v>
      </c>
      <c r="BL54" s="1221" t="s">
        <v>1958</v>
      </c>
    </row>
    <row customHeight="1" ht="11.25">
      <c r="A55" s="1078" t="s">
        <v>2009</v>
      </c>
      <c r="AX55" s="1124" t="s">
        <v>2010</v>
      </c>
      <c r="AZ55" s="1124" t="s">
        <v>1552</v>
      </c>
      <c r="BE55" s="1124">
        <v>2051</v>
      </c>
      <c r="BH55" s="1074" t="s">
        <v>22</v>
      </c>
      <c r="BJ55" s="1221" t="s">
        <v>1379</v>
      </c>
      <c r="BL55" s="1221" t="s">
        <v>1379</v>
      </c>
    </row>
    <row customHeight="1" ht="11.25">
      <c r="A56" s="1078" t="s">
        <v>2011</v>
      </c>
      <c r="D56" s="1122" t="s">
        <v>2012</v>
      </c>
      <c r="E56" s="1099" t="s">
        <v>2013</v>
      </c>
      <c r="F56" s="1078" t="s">
        <v>2014</v>
      </c>
      <c r="AX56" s="1124" t="s">
        <v>2015</v>
      </c>
      <c r="AZ56" s="1124" t="s">
        <v>1580</v>
      </c>
      <c r="BE56" s="1124">
        <v>2052</v>
      </c>
      <c r="BH56" s="1074" t="s">
        <v>22</v>
      </c>
      <c r="BJ56" s="1221" t="s">
        <v>1965</v>
      </c>
      <c r="BL56" s="1221" t="s">
        <v>1965</v>
      </c>
    </row>
    <row customHeight="1" ht="11.25">
      <c r="A57" s="1078" t="s">
        <v>2016</v>
      </c>
      <c r="D57" s="1122" t="s">
        <v>2017</v>
      </c>
      <c r="E57" s="1099" t="s">
        <v>2018</v>
      </c>
      <c r="F57" s="1078" t="s">
        <v>2014</v>
      </c>
      <c r="AX57" s="1124" t="s">
        <v>2019</v>
      </c>
      <c r="AZ57" s="1124" t="s">
        <v>1615</v>
      </c>
      <c r="BE57" s="1124">
        <v>2053</v>
      </c>
      <c r="BJ57" s="1221" t="s">
        <v>1974</v>
      </c>
      <c r="BL57" s="1221" t="s">
        <v>1974</v>
      </c>
    </row>
    <row customHeight="1" ht="11.25">
      <c r="A58" s="1078" t="s">
        <v>2020</v>
      </c>
      <c r="D58" s="1122" t="s">
        <v>2021</v>
      </c>
      <c r="E58" s="1099" t="s">
        <v>2022</v>
      </c>
      <c r="F58" s="1078" t="s">
        <v>2014</v>
      </c>
      <c r="AX58" s="1124" t="s">
        <v>2023</v>
      </c>
      <c r="BE58" s="1124">
        <v>2054</v>
      </c>
      <c r="BJ58" s="1221" t="s">
        <v>1978</v>
      </c>
      <c r="BL58" s="1221" t="s">
        <v>1978</v>
      </c>
    </row>
    <row customHeight="1" ht="11.25">
      <c r="A59" s="1078" t="s">
        <v>2024</v>
      </c>
      <c r="D59" s="1122" t="s">
        <v>275</v>
      </c>
      <c r="E59" s="1099" t="s">
        <v>1910</v>
      </c>
      <c r="F59" s="1078" t="s">
        <v>2025</v>
      </c>
      <c r="AX59" s="1124" t="s">
        <v>2026</v>
      </c>
      <c r="AZ59" s="1071" t="s">
        <v>2027</v>
      </c>
      <c r="BE59" s="1124">
        <v>2055</v>
      </c>
      <c r="BJ59" s="1221" t="s">
        <v>1981</v>
      </c>
      <c r="BL59" s="1221" t="s">
        <v>1981</v>
      </c>
    </row>
    <row customHeight="1" ht="11.25">
      <c r="A60" s="1078" t="s">
        <v>2028</v>
      </c>
      <c r="D60" s="1122" t="s">
        <v>2029</v>
      </c>
      <c r="E60" s="1099" t="s">
        <v>1910</v>
      </c>
      <c r="F60" s="1078" t="s">
        <v>2025</v>
      </c>
      <c r="AX60" s="1124" t="s">
        <v>2030</v>
      </c>
      <c r="AZ60" s="1124" t="s">
        <v>1553</v>
      </c>
      <c r="BE60" s="1124">
        <v>2056</v>
      </c>
      <c r="BJ60" s="1221" t="s">
        <v>1986</v>
      </c>
      <c r="BL60" s="1221" t="s">
        <v>1986</v>
      </c>
    </row>
    <row customHeight="1" ht="11.25">
      <c r="A61" s="1078" t="s">
        <v>2031</v>
      </c>
      <c r="D61" s="1122" t="s">
        <v>2032</v>
      </c>
      <c r="E61" s="1099" t="s">
        <v>1910</v>
      </c>
      <c r="F61" s="1078" t="s">
        <v>2025</v>
      </c>
      <c r="AX61" s="1124" t="s">
        <v>2033</v>
      </c>
      <c r="AZ61" s="1124" t="s">
        <v>1581</v>
      </c>
      <c r="BE61" s="1124">
        <v>2057</v>
      </c>
      <c r="BL61" s="1221" t="s">
        <v>1371</v>
      </c>
    </row>
    <row customHeight="1" ht="11.25">
      <c r="A62" s="1078" t="s">
        <v>2034</v>
      </c>
      <c r="D62" s="1122" t="s">
        <v>274</v>
      </c>
      <c r="E62" s="1099">
        <v>30</v>
      </c>
      <c r="F62" s="1078" t="s">
        <v>2025</v>
      </c>
      <c r="AZ62" s="1124" t="s">
        <v>1616</v>
      </c>
      <c r="BE62" s="1124">
        <v>2058</v>
      </c>
      <c r="BL62" s="1221" t="s">
        <v>1373</v>
      </c>
    </row>
    <row customHeight="1" ht="11.25">
      <c r="A63" s="1078" t="s">
        <v>2035</v>
      </c>
      <c r="D63" s="1122" t="s">
        <v>2036</v>
      </c>
      <c r="E63" s="1099">
        <v>30</v>
      </c>
      <c r="F63" s="1078" t="s">
        <v>2025</v>
      </c>
      <c r="AZ63" s="1124" t="s">
        <v>1648</v>
      </c>
      <c r="BE63" s="1124">
        <v>2059</v>
      </c>
    </row>
    <row customHeight="1" ht="11.25">
      <c r="A64" s="1078" t="s">
        <v>2037</v>
      </c>
      <c r="D64" s="1122" t="s">
        <v>2038</v>
      </c>
      <c r="E64" s="1099">
        <v>30</v>
      </c>
      <c r="F64" s="1078" t="s">
        <v>2025</v>
      </c>
      <c r="AZ64" s="1124" t="s">
        <v>1670</v>
      </c>
      <c r="BE64" s="1124">
        <v>2060</v>
      </c>
    </row>
    <row customHeight="1" ht="11.25">
      <c r="A65" s="1078" t="s">
        <v>2039</v>
      </c>
      <c r="D65" s="1078"/>
      <c r="BE65" s="1124">
        <v>2061</v>
      </c>
    </row>
    <row customHeight="1" ht="11.25">
      <c r="A66" s="1078" t="s">
        <v>2040</v>
      </c>
      <c r="AZ66" s="1071" t="s">
        <v>2041</v>
      </c>
      <c r="BE66" s="1124">
        <v>2062</v>
      </c>
    </row>
    <row customHeight="1" ht="11.25">
      <c r="A67" s="1078" t="s">
        <v>2042</v>
      </c>
      <c r="AZ67" s="1124" t="s">
        <v>1554</v>
      </c>
      <c r="BE67" s="1124">
        <v>2063</v>
      </c>
    </row>
    <row customHeight="1" ht="11.25">
      <c r="A68" s="1078" t="s">
        <v>2043</v>
      </c>
      <c r="AZ68" s="1124" t="s">
        <v>1582</v>
      </c>
      <c r="BE68" s="1124">
        <v>2064</v>
      </c>
      <c r="BH68" s="1071" t="s">
        <v>2044</v>
      </c>
      <c r="BJ68" s="1071" t="s">
        <v>2045</v>
      </c>
      <c r="BL68" s="1071" t="s">
        <v>2046</v>
      </c>
      <c r="BN68" s="1071" t="s">
        <v>2047</v>
      </c>
    </row>
    <row customHeight="1" ht="11.25">
      <c r="A69" s="1078" t="s">
        <v>2048</v>
      </c>
      <c r="AZ69" s="1124" t="s">
        <v>1617</v>
      </c>
      <c r="BE69" s="1124">
        <v>2065</v>
      </c>
      <c r="BH69" s="1072" t="s">
        <v>2049</v>
      </c>
      <c r="BI69" s="1121" t="s">
        <v>105</v>
      </c>
      <c r="BJ69" s="1072" t="s">
        <v>2050</v>
      </c>
      <c r="BK69" s="1121" t="s">
        <v>105</v>
      </c>
      <c r="BL69" s="1072" t="s">
        <v>2051</v>
      </c>
      <c r="BM69" s="1074" t="s">
        <v>105</v>
      </c>
      <c r="BN69" s="1072" t="s">
        <v>2052</v>
      </c>
    </row>
    <row customHeight="1" ht="11.25">
      <c r="A70" s="1078" t="s">
        <v>2053</v>
      </c>
      <c r="AZ70" s="1124" t="s">
        <v>1649</v>
      </c>
      <c r="BE70" s="1124">
        <v>2066</v>
      </c>
      <c r="BH70" s="1072" t="s">
        <v>2054</v>
      </c>
      <c r="BJ70" s="1072" t="s">
        <v>2055</v>
      </c>
      <c r="BL70" s="1072" t="s">
        <v>2056</v>
      </c>
      <c r="BN70" s="1072" t="s">
        <v>2057</v>
      </c>
    </row>
    <row customHeight="1" ht="11.25">
      <c r="A71" s="1078" t="s">
        <v>2058</v>
      </c>
      <c r="AZ71" s="1124" t="s">
        <v>1651</v>
      </c>
      <c r="BE71" s="1124">
        <v>2067</v>
      </c>
      <c r="BH71" s="1072" t="s">
        <v>2059</v>
      </c>
      <c r="BI71" s="1121" t="s">
        <v>89</v>
      </c>
      <c r="BJ71" s="1072" t="s">
        <v>2060</v>
      </c>
      <c r="BK71" s="1121" t="s">
        <v>89</v>
      </c>
      <c r="BL71" s="1072" t="s">
        <v>2061</v>
      </c>
      <c r="BM71" s="1074" t="s">
        <v>89</v>
      </c>
      <c r="BN71" s="1072" t="s">
        <v>2062</v>
      </c>
    </row>
    <row customHeight="1" ht="11.25">
      <c r="A72" s="1078" t="s">
        <v>2063</v>
      </c>
      <c r="AZ72" s="1124" t="s">
        <v>19</v>
      </c>
      <c r="BE72" s="1124">
        <v>2068</v>
      </c>
      <c r="BH72" s="1072" t="s">
        <v>2064</v>
      </c>
      <c r="BJ72" s="1072" t="s">
        <v>2064</v>
      </c>
      <c r="BL72" s="1072" t="s">
        <v>2064</v>
      </c>
      <c r="BN72" s="1072" t="s">
        <v>2065</v>
      </c>
    </row>
    <row customHeight="1" ht="11.25">
      <c r="A73" s="1078" t="s">
        <v>2066</v>
      </c>
      <c r="BE73" s="1124">
        <v>2069</v>
      </c>
      <c r="BH73" s="1072" t="s">
        <v>2067</v>
      </c>
      <c r="BI73" s="1121" t="s">
        <v>120</v>
      </c>
      <c r="BJ73" s="1072" t="s">
        <v>2068</v>
      </c>
      <c r="BK73" s="1121" t="s">
        <v>120</v>
      </c>
      <c r="BL73" s="1072" t="s">
        <v>2069</v>
      </c>
      <c r="BM73" s="1074" t="s">
        <v>120</v>
      </c>
      <c r="BN73" s="1072" t="s">
        <v>2070</v>
      </c>
    </row>
    <row customHeight="1" ht="11.25">
      <c r="A74" s="1078" t="s">
        <v>2071</v>
      </c>
      <c r="BE74" s="1124">
        <v>2070</v>
      </c>
      <c r="BH74" s="1072" t="s">
        <v>2072</v>
      </c>
      <c r="BJ74" s="1072" t="s">
        <v>2073</v>
      </c>
      <c r="BL74" s="1072" t="s">
        <v>2074</v>
      </c>
      <c r="BN74" s="1072" t="s">
        <v>2075</v>
      </c>
    </row>
    <row customHeight="1" ht="11.25">
      <c r="A75" s="1078" t="s">
        <v>2076</v>
      </c>
      <c r="AZ75" s="1071" t="s">
        <v>2077</v>
      </c>
      <c r="BH75" s="1072" t="s">
        <v>2078</v>
      </c>
      <c r="BJ75" s="1072" t="s">
        <v>2078</v>
      </c>
      <c r="BL75" s="1072" t="s">
        <v>2078</v>
      </c>
    </row>
    <row customHeight="1" ht="11.25">
      <c r="A76" s="1078" t="s">
        <v>2079</v>
      </c>
      <c r="AZ76" s="1124" t="s">
        <v>1563</v>
      </c>
      <c r="BH76" s="1072" t="s">
        <v>2080</v>
      </c>
      <c r="BJ76" s="1072" t="s">
        <v>2081</v>
      </c>
      <c r="BL76" s="1072" t="s">
        <v>2082</v>
      </c>
    </row>
    <row customHeight="1" ht="11.25">
      <c r="A77" s="1078" t="s">
        <v>2083</v>
      </c>
      <c r="AZ77" s="1124" t="s">
        <v>1592</v>
      </c>
    </row>
    <row customHeight="1" ht="11.25">
      <c r="A78" s="1078" t="s">
        <v>2084</v>
      </c>
      <c r="AZ78" s="1124" t="s">
        <v>1624</v>
      </c>
    </row>
    <row customHeight="1" ht="11.25">
      <c r="A79" s="1078" t="s">
        <v>2085</v>
      </c>
      <c r="AZ79" s="1124" t="s">
        <v>1655</v>
      </c>
      <c r="BH79" s="1071" t="s">
        <v>2086</v>
      </c>
      <c r="BJ79" s="1071" t="s">
        <v>2087</v>
      </c>
      <c r="BL79" s="1071" t="s">
        <v>2088</v>
      </c>
    </row>
    <row customHeight="1" ht="11.25">
      <c r="A80" s="1078" t="s">
        <v>2089</v>
      </c>
      <c r="AZ80" s="1124" t="s">
        <v>1675</v>
      </c>
      <c r="BH80" s="1072" t="s">
        <v>2090</v>
      </c>
      <c r="BJ80" s="1072" t="s">
        <v>2091</v>
      </c>
      <c r="BL80" s="1072" t="s">
        <v>2092</v>
      </c>
    </row>
    <row customHeight="1" ht="11.25">
      <c r="A81" s="1078" t="s">
        <v>2093</v>
      </c>
      <c r="AZ81" s="1124" t="s">
        <v>1692</v>
      </c>
      <c r="BH81" s="1072" t="s">
        <v>2094</v>
      </c>
      <c r="BJ81" s="1072" t="s">
        <v>2095</v>
      </c>
      <c r="BL81" s="1072" t="s">
        <v>2096</v>
      </c>
    </row>
    <row customHeight="1" ht="11.25">
      <c r="A82" s="1078" t="s">
        <v>2097</v>
      </c>
      <c r="AZ82" s="1124" t="s">
        <v>1707</v>
      </c>
      <c r="BH82" s="1072" t="s">
        <v>2098</v>
      </c>
      <c r="BJ82" s="1072" t="s">
        <v>2099</v>
      </c>
      <c r="BL82" s="1072" t="s">
        <v>2100</v>
      </c>
    </row>
    <row customHeight="1" ht="11.25">
      <c r="A83" s="1078" t="s">
        <v>2101</v>
      </c>
      <c r="BH83" s="1072" t="s">
        <v>2102</v>
      </c>
      <c r="BJ83" s="1072" t="s">
        <v>2103</v>
      </c>
      <c r="BL83" s="1072" t="s">
        <v>2104</v>
      </c>
    </row>
    <row customHeight="1" ht="11.25">
      <c r="A84" s="1078" t="s">
        <v>2105</v>
      </c>
      <c r="AZ84" s="1071" t="s">
        <v>2106</v>
      </c>
    </row>
    <row customHeight="1" ht="11.25">
      <c r="A85" s="1871" t="s">
        <v>2107</v>
      </c>
      <c r="AZ85" s="1124" t="s">
        <v>2108</v>
      </c>
    </row>
    <row customHeight="1" ht="11.25">
      <c r="A86" s="1078" t="s">
        <v>2109</v>
      </c>
      <c r="AZ86" s="1124" t="s">
        <v>2110</v>
      </c>
      <c r="BH86" s="1071" t="s">
        <v>2111</v>
      </c>
      <c r="BJ86" s="1071" t="s">
        <v>2112</v>
      </c>
      <c r="BL86" s="1071" t="s">
        <v>2113</v>
      </c>
    </row>
    <row customHeight="1" ht="11.25">
      <c r="A87" s="1078" t="s">
        <v>2114</v>
      </c>
      <c r="AZ87" s="1124" t="s">
        <v>2115</v>
      </c>
      <c r="BH87" s="1072" t="s">
        <v>2116</v>
      </c>
      <c r="BJ87" s="1072" t="s">
        <v>2117</v>
      </c>
      <c r="BL87" s="1072" t="s">
        <v>2118</v>
      </c>
    </row>
    <row customHeight="1" ht="11.25">
      <c r="A88" s="1078" t="s">
        <v>2119</v>
      </c>
      <c r="AZ88" s="1610"/>
      <c r="BH88" s="1072" t="s">
        <v>2120</v>
      </c>
      <c r="BJ88" s="1072" t="s">
        <v>2121</v>
      </c>
      <c r="BL88" s="1072" t="s">
        <v>2122</v>
      </c>
    </row>
    <row customHeight="1" ht="11.25">
      <c r="A89" s="1078" t="s">
        <v>2123</v>
      </c>
      <c r="AZ89" s="1071" t="s">
        <v>2124</v>
      </c>
    </row>
    <row customHeight="1" ht="11.25">
      <c r="A90" s="1078" t="s">
        <v>2125</v>
      </c>
      <c r="AZ90" s="1124" t="s">
        <v>1349</v>
      </c>
    </row>
    <row customHeight="1" ht="11.25">
      <c r="A91" s="1078" t="s">
        <v>2126</v>
      </c>
      <c r="AZ91" s="1124" t="s">
        <v>1385</v>
      </c>
      <c r="BH91" s="1071" t="s">
        <v>2127</v>
      </c>
      <c r="BJ91" s="1071" t="s">
        <v>2128</v>
      </c>
      <c r="BL91" s="1071" t="s">
        <v>2129</v>
      </c>
    </row>
    <row customHeight="1" ht="11.25">
      <c r="AZ92" s="1124" t="s">
        <v>2130</v>
      </c>
      <c r="BH92" s="1072" t="s">
        <v>2131</v>
      </c>
      <c r="BJ92" s="1072" t="s">
        <v>2132</v>
      </c>
      <c r="BL92" s="1072" t="s">
        <v>2133</v>
      </c>
    </row>
    <row customHeight="1" ht="11.25">
      <c r="AZ93" s="1124" t="s">
        <v>2134</v>
      </c>
      <c r="BH93" s="1072" t="s">
        <v>2135</v>
      </c>
      <c r="BJ93" s="1072" t="s">
        <v>2136</v>
      </c>
      <c r="BL93" s="1072" t="s">
        <v>2137</v>
      </c>
    </row>
    <row customHeight="1" ht="11.25">
      <c r="AZ94" s="1124" t="s">
        <v>2138</v>
      </c>
    </row>
    <row r="96" customHeight="1" ht="11.25">
      <c r="AZ96" s="1071" t="s">
        <v>2139</v>
      </c>
      <c r="BH96" s="1071" t="s">
        <v>2140</v>
      </c>
      <c r="BJ96" s="1071" t="s">
        <v>2141</v>
      </c>
      <c r="BL96" s="1071" t="s">
        <v>2142</v>
      </c>
      <c r="BN96" s="1071" t="s">
        <v>2143</v>
      </c>
    </row>
    <row customHeight="1" ht="11.25">
      <c r="AZ97" s="1902" t="s">
        <v>2144</v>
      </c>
      <c r="BA97" s="1903" t="s">
        <v>2145</v>
      </c>
      <c r="BH97" s="1072" t="s">
        <v>2146</v>
      </c>
      <c r="BJ97" s="1072" t="s">
        <v>2147</v>
      </c>
      <c r="BL97" s="1072" t="s">
        <v>2148</v>
      </c>
      <c r="BN97" s="1072" t="s">
        <v>2149</v>
      </c>
    </row>
    <row customHeight="1" ht="11.25">
      <c r="AZ98" s="1902" t="s">
        <v>2150</v>
      </c>
      <c r="BA98" s="1903" t="s">
        <v>2151</v>
      </c>
      <c r="BH98" s="1072" t="s">
        <v>2152</v>
      </c>
      <c r="BJ98" s="1072" t="s">
        <v>2153</v>
      </c>
      <c r="BL98" s="1072" t="s">
        <v>2154</v>
      </c>
      <c r="BN98" s="1072" t="s">
        <v>2155</v>
      </c>
    </row>
    <row customHeight="1" ht="22.5">
      <c r="AZ99" s="1902" t="s">
        <v>2156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2157</v>
      </c>
      <c r="BJ99" s="1072" t="s">
        <v>2158</v>
      </c>
      <c r="BL99" s="1072" t="s">
        <v>2159</v>
      </c>
      <c r="BN99" s="1072" t="s">
        <v>2160</v>
      </c>
    </row>
    <row customHeight="1" ht="22.5">
      <c r="AZ100" s="1902" t="s">
        <v>2161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1748</v>
      </c>
      <c r="BL100" s="1072" t="s">
        <v>1748</v>
      </c>
      <c r="BN100" s="1072" t="s">
        <v>2162</v>
      </c>
    </row>
    <row customHeight="1" ht="22.5">
      <c r="AZ101" s="1902" t="s">
        <v>2163</v>
      </c>
      <c r="BA101" s="1903" t="s">
        <v>2164</v>
      </c>
      <c r="BN101" s="1072" t="s">
        <v>2165</v>
      </c>
    </row>
    <row customHeight="1" ht="22.5">
      <c r="AZ102" s="1902" t="s">
        <v>2166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2167</v>
      </c>
    </row>
    <row customHeight="1" ht="11.25">
      <c r="AZ103" s="1902" t="s">
        <v>2168</v>
      </c>
      <c r="BA103" s="1903" t="s">
        <v>2169</v>
      </c>
      <c r="BN103" s="1072" t="s">
        <v>2170</v>
      </c>
    </row>
    <row customHeight="1" ht="11.25">
      <c r="BN104" s="1072" t="s">
        <v>2171</v>
      </c>
    </row>
    <row customHeight="1" ht="11.25">
      <c r="AZ105" s="1695" t="s">
        <v>2172</v>
      </c>
    </row>
    <row customHeight="1" ht="11.25">
      <c r="AZ106" s="1124" t="s">
        <v>2173</v>
      </c>
    </row>
    <row customHeight="1" ht="11.25">
      <c r="AZ107" s="1124" t="s">
        <v>2174</v>
      </c>
      <c r="BH107" s="1071" t="s">
        <v>2175</v>
      </c>
      <c r="BJ107" s="1071" t="s">
        <v>2176</v>
      </c>
      <c r="BL107" s="1071" t="s">
        <v>2177</v>
      </c>
      <c r="BN107" s="1071" t="s">
        <v>2178</v>
      </c>
    </row>
    <row customHeight="1" ht="11.25">
      <c r="AZ108" s="1124" t="s">
        <v>709</v>
      </c>
      <c r="BH108" s="1072" t="s">
        <v>2179</v>
      </c>
      <c r="BJ108" s="1072" t="s">
        <v>2180</v>
      </c>
      <c r="BL108" s="1072" t="s">
        <v>1834</v>
      </c>
      <c r="BN108" s="1072" t="s">
        <v>2181</v>
      </c>
    </row>
    <row customHeight="1" ht="11.25">
      <c r="BH109" s="1072" t="s">
        <v>2182</v>
      </c>
    </row>
    <row customHeight="1" ht="11.25">
      <c r="AZ110" s="1695" t="s">
        <v>2183</v>
      </c>
      <c r="BH110" s="1072" t="s">
        <v>2182</v>
      </c>
    </row>
    <row customHeight="1" ht="11.25">
      <c r="AZ111" s="1902" t="s">
        <v>2144</v>
      </c>
      <c r="BA111" s="1903" t="s">
        <v>2145</v>
      </c>
    </row>
    <row customHeight="1" ht="11.25">
      <c r="AZ112" s="1902" t="s">
        <v>2150</v>
      </c>
      <c r="BA112" s="1903" t="s">
        <v>2151</v>
      </c>
    </row>
    <row customHeight="1" ht="22.5">
      <c r="AZ113" s="1902" t="s">
        <v>2156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2161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2184</v>
      </c>
    </row>
    <row customHeight="1" ht="22.5">
      <c r="AZ115" s="1902" t="s">
        <v>2166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1550</v>
      </c>
    </row>
    <row customHeight="1" ht="11.25">
      <c r="AZ116" s="1902" t="s">
        <v>2168</v>
      </c>
      <c r="BA116" s="1903" t="s">
        <v>2169</v>
      </c>
      <c r="BH116" s="1072" t="s">
        <v>1578</v>
      </c>
    </row>
    <row customHeight="1" ht="11.25">
      <c r="BH117" s="1072" t="s">
        <v>1613</v>
      </c>
    </row>
    <row customHeight="1" ht="11.25">
      <c r="BH118" s="1072" t="s">
        <v>1646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F378-A29A-2B08-8262-F1CFFDEA8C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437</v>
      </c>
      <c r="J1" s="459" t="s">
        <v>14</v>
      </c>
    </row>
    <row customHeight="1" ht="22.5" hidden="1">
      <c r="A2" s="506"/>
      <c r="B2" s="506"/>
      <c r="C2" s="1733" t="s">
        <v>103</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Приморский край</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438</v>
      </c>
      <c r="E9" s="2222"/>
      <c r="F9" s="2222"/>
      <c r="G9" s="2225" t="s">
        <v>439</v>
      </c>
      <c r="J9" s="459">
        <v>11</v>
      </c>
    </row>
    <row customHeight="1" ht="11.549999999999999">
      <c r="A10" s="506"/>
      <c r="B10" s="506"/>
      <c r="C10" s="461"/>
      <c r="D10" s="1478" t="s">
        <v>87</v>
      </c>
      <c r="E10" s="1480" t="s">
        <v>440</v>
      </c>
      <c r="F10" s="1480" t="s">
        <v>441</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2185</v>
      </c>
      <c r="F13" s="1525" t="s">
        <v>444</v>
      </c>
      <c r="G13" s="478"/>
      <c r="H13" s="1537"/>
      <c r="J13" s="459">
        <v>19</v>
      </c>
    </row>
    <row customHeight="1" ht="19.95">
      <c r="A14" s="506"/>
      <c r="B14" s="506"/>
      <c r="C14" s="461"/>
      <c r="D14" s="1527" t="s">
        <v>891</v>
      </c>
      <c r="E14" s="1528" t="s">
        <v>2186</v>
      </c>
      <c r="F14" s="1530"/>
      <c r="G14" s="1529" t="s">
        <v>2187</v>
      </c>
      <c r="H14" s="1537"/>
      <c r="J14" s="459">
        <v>19</v>
      </c>
    </row>
    <row customHeight="1" ht="19.95">
      <c r="A15" s="506"/>
      <c r="B15" s="506"/>
      <c r="C15" s="461"/>
      <c r="D15" s="1527" t="s">
        <v>445</v>
      </c>
      <c r="E15" s="1528" t="s">
        <v>2188</v>
      </c>
      <c r="F15" s="1530"/>
      <c r="G15" s="1529" t="s">
        <v>2189</v>
      </c>
      <c r="H15" s="1537"/>
      <c r="J15" s="459">
        <v>19</v>
      </c>
    </row>
    <row customHeight="1" ht="24">
      <c r="A16" s="506"/>
      <c r="B16" s="506"/>
      <c r="C16" s="461"/>
      <c r="D16" s="1527" t="s">
        <v>448</v>
      </c>
      <c r="E16" s="1526" t="s">
        <v>2190</v>
      </c>
      <c r="F16" s="1535"/>
      <c r="G16" s="478" t="s">
        <v>2191</v>
      </c>
      <c r="H16" s="1537"/>
      <c r="J16" s="459">
        <v>23</v>
      </c>
    </row>
    <row customHeight="1" ht="48.29999999999999">
      <c r="A17" s="506"/>
      <c r="B17" s="506"/>
      <c r="C17" s="461"/>
      <c r="D17" s="1524">
        <v>3</v>
      </c>
      <c r="E17" s="1531" t="s">
        <v>2192</v>
      </c>
      <c r="F17" s="1530"/>
      <c r="G17" s="478" t="s">
        <v>2193</v>
      </c>
      <c r="H17" s="1537"/>
      <c r="J17" s="459">
        <v>46</v>
      </c>
    </row>
    <row customHeight="1" ht="48.29999999999999">
      <c r="A18" s="1479">
        <v>1</v>
      </c>
      <c r="B18" s="506"/>
      <c r="C18" s="1481"/>
      <c r="D18" s="1524" t="s">
        <v>90</v>
      </c>
      <c r="E18" s="1531" t="s">
        <v>2194</v>
      </c>
      <c r="F18" s="1530"/>
      <c r="G18" s="478" t="s">
        <v>2193</v>
      </c>
      <c r="H18" s="1537"/>
      <c r="I18" s="856"/>
      <c r="J18" s="459">
        <v>46</v>
      </c>
    </row>
    <row customHeight="1" ht="23.25">
      <c r="A19" s="506"/>
      <c r="B19" s="506"/>
      <c r="C19" s="461"/>
      <c r="D19" s="1524" t="s">
        <v>120</v>
      </c>
      <c r="E19" s="1531" t="s">
        <v>2195</v>
      </c>
      <c r="F19" s="1525" t="s">
        <v>444</v>
      </c>
      <c r="G19" s="2488" t="s">
        <v>2196</v>
      </c>
      <c r="H19" s="479"/>
      <c r="J19" s="459">
        <v>22</v>
      </c>
    </row>
    <row s="1534" customFormat="1" customHeight="1" ht="5.25" hidden="1">
      <c r="A20" s="506"/>
      <c r="B20" s="506"/>
      <c r="C20" s="1533"/>
      <c r="D20" s="1532" t="s">
        <v>1449</v>
      </c>
      <c r="E20" s="1018"/>
      <c r="F20" s="1017"/>
      <c r="G20" s="2489"/>
      <c r="J20" s="1534">
        <v>0</v>
      </c>
    </row>
    <row customHeight="1" ht="15.75">
      <c r="A21" s="506"/>
      <c r="B21" s="506"/>
      <c r="C21" s="461"/>
      <c r="D21" s="471"/>
      <c r="E21" s="419" t="s">
        <v>477</v>
      </c>
      <c r="F21" s="473"/>
      <c r="G21" s="2490"/>
      <c r="H21" s="1537"/>
      <c r="J21" s="459">
        <v>15</v>
      </c>
    </row>
    <row s="505" customFormat="1" customHeight="1" ht="26.25">
      <c r="A22" s="506"/>
      <c r="B22" s="506"/>
      <c r="C22" s="506"/>
      <c r="D22" s="1524" t="s">
        <v>91</v>
      </c>
      <c r="E22" s="478" t="s">
        <v>2197</v>
      </c>
      <c r="F22" s="1530"/>
      <c r="G22" s="478" t="s">
        <v>2198</v>
      </c>
      <c r="H22" s="1536"/>
      <c r="J22" s="505">
        <v>25</v>
      </c>
    </row>
    <row s="505" customFormat="1" customHeight="1" ht="19.95">
      <c r="A23" s="506"/>
      <c r="B23" s="506"/>
      <c r="C23" s="506"/>
      <c r="D23" s="1524" t="s">
        <v>92</v>
      </c>
      <c r="E23" s="1531" t="s">
        <v>2199</v>
      </c>
      <c r="F23" s="1535"/>
      <c r="G23" s="478" t="s">
        <v>2200</v>
      </c>
      <c r="H23" s="1536"/>
      <c r="J23" s="505">
        <v>19</v>
      </c>
    </row>
    <row s="505" customFormat="1" customHeight="1" ht="144" hidden="1">
      <c r="A24" s="506"/>
      <c r="B24" s="506"/>
      <c r="C24" s="506"/>
      <c r="D24" s="1524" t="s">
        <v>133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BDFF8-5D78-B6EB-8C54-CBEC7D5954A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2201</v>
      </c>
      <c r="G1" s="1635" t="s">
        <v>47</v>
      </c>
      <c r="H1" s="1635" t="s">
        <v>49</v>
      </c>
      <c r="IU1" s="1159" t="s">
        <v>14</v>
      </c>
    </row>
    <row s="1851" customFormat="1" customHeight="1" ht="22.5" hidden="1">
      <c r="A2" s="835"/>
      <c r="B2" s="1164">
        <v>1</v>
      </c>
      <c r="C2" s="1164"/>
      <c r="D2" s="1929" t="s">
        <v>103</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438</v>
      </c>
      <c r="F7" s="2119"/>
      <c r="G7" s="2119"/>
      <c r="H7" s="2119"/>
      <c r="I7" s="2119"/>
      <c r="J7" s="2491" t="s">
        <v>439</v>
      </c>
      <c r="K7" s="504"/>
      <c r="L7" s="504"/>
      <c r="M7" s="504"/>
      <c r="N7" s="504"/>
      <c r="O7" s="230"/>
      <c r="P7" s="504"/>
      <c r="Q7" s="229"/>
      <c r="R7" s="229"/>
      <c r="S7" s="229"/>
      <c r="T7" s="229"/>
      <c r="IU7" s="511">
        <v>14</v>
      </c>
    </row>
    <row s="1822" customFormat="1" customHeight="1" ht="21">
      <c r="A8" s="1159"/>
      <c r="B8" s="1164"/>
      <c r="C8" s="1159"/>
      <c r="D8" s="1499"/>
      <c r="E8" s="1552" t="s">
        <v>87</v>
      </c>
      <c r="F8" s="1544" t="s">
        <v>2201</v>
      </c>
      <c r="G8" s="1544" t="s">
        <v>47</v>
      </c>
      <c r="H8" s="1544" t="s">
        <v>49</v>
      </c>
      <c r="I8" s="1544" t="s">
        <v>2202</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2203</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21548-025E-BFD8-2818-B072694E7D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103</v>
      </c>
      <c r="E2" s="1890"/>
      <c r="F2" s="1893" t="str">
        <f>IF(ROIV_INFO_NAME="","",ROIV_INFO_NAME)</f>
        <v>КГУП "Примтеплоэнерго"</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438</v>
      </c>
      <c r="F7" s="2119"/>
      <c r="G7" s="2119"/>
      <c r="H7" s="2119"/>
      <c r="I7" s="2119"/>
      <c r="J7" s="2119"/>
      <c r="K7" s="2119"/>
      <c r="L7" s="2491" t="s">
        <v>439</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2204</v>
      </c>
      <c r="H9" s="1541" t="s">
        <v>2205</v>
      </c>
      <c r="I9" s="1541" t="s">
        <v>2206</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КГУП "Примтеплоэнерго"</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2207</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BA768-7208-AFB8-28E8-A00782EBDD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103</v>
      </c>
      <c r="E2" s="1905"/>
      <c r="F2" s="1907" t="str">
        <f>IF(ROIV_INFO_NAME="","",ROIV_INFO_NAME)</f>
        <v>КГУП "Примтеплоэнерго"</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438</v>
      </c>
      <c r="F7" s="2119"/>
      <c r="G7" s="2119"/>
      <c r="H7" s="2119"/>
      <c r="I7" s="2119"/>
      <c r="J7" s="2119"/>
      <c r="K7" s="2119"/>
      <c r="L7" s="2491" t="s">
        <v>439</v>
      </c>
      <c r="M7" s="1628"/>
      <c r="N7" s="1628"/>
      <c r="O7" s="1628"/>
      <c r="P7" s="1628"/>
      <c r="Q7" s="1628"/>
      <c r="R7" s="1628"/>
      <c r="S7" s="229"/>
      <c r="T7" s="229"/>
      <c r="U7" s="229"/>
      <c r="V7" s="229"/>
      <c r="IW7" s="1613">
        <v>14</v>
      </c>
    </row>
    <row s="1822" customFormat="1" customHeight="1" ht="67.2">
      <c r="A8" s="1635"/>
      <c r="B8" s="1370"/>
      <c r="C8" s="1635"/>
      <c r="D8" s="1519"/>
      <c r="E8" s="2495" t="s">
        <v>87</v>
      </c>
      <c r="F8" s="2495" t="s">
        <v>2208</v>
      </c>
      <c r="G8" s="2497" t="s">
        <v>2209</v>
      </c>
      <c r="H8" s="2498"/>
      <c r="I8" s="2499"/>
      <c r="J8" s="2495" t="s">
        <v>2210</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2204</v>
      </c>
      <c r="H9" s="1895" t="s">
        <v>2205</v>
      </c>
      <c r="I9" s="1895" t="s">
        <v>2206</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КГУП "Примтеплоэнерго"</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2207</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F9C78-9C4C-B3A8-D128-0.B3497F526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103</v>
      </c>
      <c r="E2" s="2144">
        <v>1</v>
      </c>
      <c r="F2" s="2320" t="str">
        <f>IF(region_name="","",region_name)</f>
        <v>Приморский край</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2211</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103</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438</v>
      </c>
      <c r="F10" s="2144"/>
      <c r="G10" s="2144"/>
      <c r="H10" s="2144"/>
      <c r="I10" s="2144"/>
      <c r="J10" s="2144"/>
      <c r="K10" s="2144"/>
      <c r="L10" s="2144"/>
      <c r="M10" s="2118"/>
      <c r="N10" s="2495" t="s">
        <v>439</v>
      </c>
      <c r="O10" s="504"/>
      <c r="P10" s="504"/>
      <c r="Q10" s="511">
        <v>14</v>
      </c>
    </row>
    <row s="1822" customFormat="1" customHeight="1" ht="44.25">
      <c r="A11" s="1635"/>
      <c r="B11" s="1370"/>
      <c r="C11" s="1635"/>
      <c r="D11" s="1519"/>
      <c r="E11" s="2509" t="s">
        <v>87</v>
      </c>
      <c r="F11" s="2509" t="s">
        <v>442</v>
      </c>
      <c r="G11" s="2509" t="s">
        <v>2212</v>
      </c>
      <c r="H11" s="2509"/>
      <c r="I11" s="2509" t="s">
        <v>2213</v>
      </c>
      <c r="J11" s="2509"/>
      <c r="K11" s="2509"/>
      <c r="L11" s="2509" t="s">
        <v>2214</v>
      </c>
      <c r="M11" s="2497" t="s">
        <v>2215</v>
      </c>
      <c r="N11" s="2508"/>
      <c r="O11" s="1628"/>
      <c r="P11" s="1628"/>
      <c r="Q11" s="1613">
        <v>42</v>
      </c>
    </row>
    <row s="1822" customFormat="1" customHeight="1" ht="29.25">
      <c r="A12" s="1159"/>
      <c r="B12" s="1164"/>
      <c r="C12" s="1159"/>
      <c r="D12" s="1499"/>
      <c r="E12" s="2495"/>
      <c r="F12" s="2509"/>
      <c r="G12" s="1910" t="s">
        <v>2216</v>
      </c>
      <c r="H12" s="1910" t="s">
        <v>446</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Приморский край</v>
      </c>
      <c r="G13" s="2504"/>
      <c r="H13" s="2511"/>
      <c r="I13" s="478"/>
      <c r="J13" s="1906">
        <v>1</v>
      </c>
      <c r="K13" s="1919"/>
      <c r="L13" s="1920"/>
      <c r="M13" s="1920"/>
      <c r="N13" s="2505" t="s">
        <v>2217</v>
      </c>
      <c r="O13" s="1539"/>
      <c r="P13" s="515"/>
      <c r="Q13" s="427">
        <v>22</v>
      </c>
    </row>
    <row s="1851" customFormat="1" customHeight="1" ht="23.25">
      <c r="A14" s="2116"/>
      <c r="B14" s="1164"/>
      <c r="C14" s="1164"/>
      <c r="D14" s="805"/>
      <c r="E14" s="2144"/>
      <c r="F14" s="2503"/>
      <c r="G14" s="2504"/>
      <c r="H14" s="2512"/>
      <c r="I14" s="425"/>
      <c r="J14" s="1504"/>
      <c r="K14" s="1504" t="s">
        <v>2211</v>
      </c>
      <c r="L14" s="1547"/>
      <c r="M14" s="1547"/>
      <c r="N14" s="2506"/>
      <c r="O14" s="1539"/>
      <c r="P14" s="515"/>
      <c r="Q14" s="427">
        <v>22</v>
      </c>
    </row>
    <row s="1851" customFormat="1" customHeight="1" ht="23.25">
      <c r="A15" s="2116"/>
      <c r="B15" s="1164"/>
      <c r="C15" s="416"/>
      <c r="D15" s="805"/>
      <c r="E15" s="425"/>
      <c r="F15" s="1504" t="s">
        <v>2203</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88A68-2E6E-8CD8-8038-27214F1240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2218</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438</v>
      </c>
      <c r="E8" s="2226"/>
      <c r="F8" s="2226"/>
      <c r="G8" s="2226"/>
      <c r="H8" s="2226"/>
      <c r="I8" s="2226" t="s">
        <v>439</v>
      </c>
      <c r="M8" s="125">
        <v>14</v>
      </c>
    </row>
    <row customHeight="1" ht="29.25">
      <c r="D9" s="2226" t="s">
        <v>87</v>
      </c>
      <c r="E9" s="2226" t="s">
        <v>2219</v>
      </c>
      <c r="F9" s="2226"/>
      <c r="G9" s="2226"/>
      <c r="H9" s="2226"/>
      <c r="I9" s="2226"/>
      <c r="M9" s="125">
        <v>28</v>
      </c>
    </row>
    <row customHeight="1" ht="24">
      <c r="D10" s="2226"/>
      <c r="E10" s="131" t="s">
        <v>2220</v>
      </c>
      <c r="F10" s="131" t="s">
        <v>2221</v>
      </c>
      <c r="G10" s="131" t="s">
        <v>2222</v>
      </c>
      <c r="H10" s="131" t="s">
        <v>528</v>
      </c>
      <c r="I10" s="2226"/>
      <c r="M10" s="125">
        <v>23</v>
      </c>
    </row>
    <row customHeight="1" ht="12" hidden="1">
      <c r="D11" s="91" t="s">
        <v>105</v>
      </c>
      <c r="E11" s="91" t="s">
        <v>90</v>
      </c>
      <c r="F11" s="91" t="s">
        <v>120</v>
      </c>
      <c r="G11" s="91" t="s">
        <v>91</v>
      </c>
      <c r="H11" s="91" t="s">
        <v>92</v>
      </c>
      <c r="I11" s="91" t="s">
        <v>133</v>
      </c>
      <c r="M11" s="125">
        <v>0</v>
      </c>
    </row>
    <row s="1826" customFormat="1" customHeight="1" ht="26.25">
      <c r="A12" s="149" t="s">
        <v>89</v>
      </c>
      <c r="B12" s="129" t="s">
        <v>22</v>
      </c>
      <c r="C12" s="130"/>
      <c r="D12" s="132" t="s">
        <v>105</v>
      </c>
      <c r="E12" s="385"/>
      <c r="F12" s="385"/>
      <c r="G12" s="1737" t="s">
        <v>22</v>
      </c>
      <c r="H12" s="386"/>
      <c r="I12" s="2186" t="s">
        <v>2223</v>
      </c>
      <c r="K12" s="276"/>
      <c r="L12" s="277"/>
      <c r="M12" s="121">
        <v>25</v>
      </c>
    </row>
    <row customHeight="1" ht="15.75">
      <c r="A13" s="125"/>
      <c r="B13" s="125"/>
      <c r="C13" s="125"/>
      <c r="D13" s="113"/>
      <c r="E13" s="134" t="s">
        <v>606</v>
      </c>
      <c r="F13" s="133"/>
      <c r="G13" s="133"/>
      <c r="H13" s="218"/>
      <c r="I13" s="2188"/>
      <c r="M13" s="125">
        <v>15</v>
      </c>
    </row>
    <row customHeight="1" ht="3">
      <c r="A14" s="125"/>
      <c r="B14" s="125"/>
      <c r="C14" s="125"/>
      <c r="M14" s="125">
        <v>3</v>
      </c>
    </row>
    <row customHeight="1" ht="29.25">
      <c r="E15" s="2513" t="s">
        <v>2224</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654F2-0592-9988-9628-D7E351BA6C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2225</v>
      </c>
      <c r="E7" s="2515"/>
      <c r="F7" s="271"/>
      <c r="J7" s="73">
        <v>22</v>
      </c>
    </row>
    <row customHeight="1" ht="3">
      <c r="C8" s="96"/>
      <c r="D8" s="74"/>
      <c r="E8" s="74"/>
      <c r="J8" s="73">
        <v>3</v>
      </c>
    </row>
    <row customHeight="1" ht="16.8">
      <c r="C9" s="96"/>
      <c r="D9" s="109" t="s">
        <v>87</v>
      </c>
      <c r="E9" s="264" t="s">
        <v>2226</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2227</v>
      </c>
      <c r="J13" s="73">
        <v>12</v>
      </c>
    </row>
    <row customHeight="1" ht="3">
      <c r="J14" s="73">
        <v>3</v>
      </c>
    </row>
    <row customHeight="1" ht="23.25">
      <c r="C15" s="141"/>
      <c r="D15" s="2516" t="s">
        <v>2228</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524B8-C3D8-54E8-4914-640B48571D7D}"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2229</v>
      </c>
      <c r="E7" s="2117"/>
      <c r="F7" s="271"/>
      <c r="M7" s="73">
        <v>22</v>
      </c>
    </row>
    <row customHeight="1" ht="3">
      <c r="C8" s="96"/>
      <c r="D8" s="74"/>
      <c r="E8" s="74"/>
      <c r="M8" s="73">
        <v>3</v>
      </c>
    </row>
    <row customHeight="1" ht="16.8">
      <c r="C9" s="96"/>
      <c r="D9" s="109" t="s">
        <v>87</v>
      </c>
      <c r="E9" s="112" t="s">
        <v>425</v>
      </c>
      <c r="M9" s="73">
        <v>16</v>
      </c>
    </row>
    <row customHeight="1" ht="12.75">
      <c r="C10" s="96"/>
      <c r="D10" s="91" t="s">
        <v>105</v>
      </c>
      <c r="E10" s="91" t="s">
        <v>102</v>
      </c>
      <c r="M10" s="73">
        <v>12</v>
      </c>
    </row>
    <row customHeight="1" ht="15" hidden="1">
      <c r="C11" s="96"/>
      <c r="D11" s="117">
        <v>0</v>
      </c>
      <c r="E11" s="153"/>
      <c r="M11" s="73">
        <v>0</v>
      </c>
    </row>
    <row customHeight="1" ht="157.5">
      <c r="A12" s="268"/>
      <c r="B12" s="268"/>
      <c r="C12" s="1820" t="s">
        <v>103</v>
      </c>
      <c r="D12" s="117" t="s">
        <v>105</v>
      </c>
      <c r="E12" s="118" t="s">
        <v>2230</v>
      </c>
      <c r="F12" s="268"/>
      <c r="G12" s="268"/>
      <c r="H12" s="268"/>
      <c r="I12" s="268"/>
      <c r="J12" s="268"/>
      <c r="K12" s="268"/>
      <c r="L12" s="268"/>
      <c r="M12" s="268"/>
    </row>
    <row customHeight="1" ht="14.699999999999998">
      <c r="C13" s="96"/>
      <c r="D13" s="113"/>
      <c r="E13" s="111" t="s">
        <v>2227</v>
      </c>
      <c r="M13" s="73">
        <v>14</v>
      </c>
    </row>
    <row customHeight="1" ht="14.25" hidden="1">
      <c r="A14" s="73" t="s">
        <v>81</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003D8-A3A7-EE47-553B-8E67CC1063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2231</v>
      </c>
      <c r="C2" s="2517"/>
      <c r="D2" s="2517"/>
      <c r="E2" s="272"/>
      <c r="F2" s="93">
        <v>22</v>
      </c>
    </row>
    <row customHeight="1" ht="3">
      <c r="F3" s="93">
        <v>3</v>
      </c>
    </row>
    <row customHeight="1" ht="23.25">
      <c r="B4" s="2632" t="s">
        <v>2232</v>
      </c>
      <c r="C4" s="387" t="s">
        <v>2233</v>
      </c>
      <c r="D4" s="387" t="s">
        <v>2234</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D7F0A-D078-3533-CCA4-45F5BE62B2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2235</v>
      </c>
    </row>
    <row r="4" s="268" customFormat="1" customHeight="1" ht="15">
      <c r="C4" s="1819"/>
      <c r="D4" s="117"/>
      <c r="E4" s="381"/>
    </row>
    <row r="6" s="1818" customFormat="1" customHeight="1" ht="17.25">
      <c r="A6" s="1818" t="s">
        <v>2236</v>
      </c>
    </row>
    <row r="8" s="268" customFormat="1" customHeight="1" ht="17.25">
      <c r="C8" s="1820"/>
      <c r="D8" s="117"/>
      <c r="E8" s="118"/>
    </row>
    <row r="11" s="1818" customFormat="1" customHeight="1" ht="17.25">
      <c r="A11" s="1818" t="s">
        <v>2237</v>
      </c>
    </row>
    <row r="13" s="1822" customFormat="1" customHeight="1" ht="15">
      <c r="A13" s="2234">
        <v>1</v>
      </c>
      <c r="B13" s="1164"/>
      <c r="C13" s="805" t="s">
        <v>103</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2238</v>
      </c>
    </row>
    <row r="19" s="1851" customFormat="1" customHeight="1" ht="15">
      <c r="A19" s="1883"/>
      <c r="B19" s="1370">
        <v>1</v>
      </c>
      <c r="C19" s="1370"/>
      <c r="D19" s="804" t="s">
        <v>103</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2239</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103</v>
      </c>
      <c r="D23" s="2125" t="s">
        <v>105</v>
      </c>
      <c r="E23" s="2126"/>
      <c r="F23" s="2124" t="s">
        <v>19</v>
      </c>
      <c r="G23" s="2574"/>
      <c r="H23" s="2144">
        <v>1</v>
      </c>
      <c r="I23" s="2576" t="str">
        <f>IF(U23="","",INDEX(TERRITORY_MR_LIST,MATCH(U23,TERRITORY_LIST_ID,0)))</f>
        <v/>
      </c>
      <c r="J23" s="2124" t="s">
        <v>19</v>
      </c>
      <c r="K23" s="836"/>
      <c r="L23" s="1785" t="s">
        <v>105</v>
      </c>
      <c r="M23" s="607"/>
      <c r="N23" s="608"/>
      <c r="O23" s="608"/>
      <c r="P23" s="608"/>
      <c r="Q23" s="608"/>
      <c r="R23" s="608"/>
      <c r="S23" s="608"/>
      <c r="T23" s="608"/>
      <c r="U23" s="609"/>
      <c r="V23" s="608"/>
      <c r="W23" s="608"/>
      <c r="X23" s="599"/>
      <c r="Y23" s="599" t="s">
        <v>184</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199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236</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2240</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103</v>
      </c>
      <c r="H29" s="2120">
        <v>1</v>
      </c>
      <c r="I29" s="2579" t="str">
        <f>IF(U29="","",INDEX(TERRITORY_MR_LIST,MATCH(U29,TERRITORY_LIST_ID,0)))</f>
        <v/>
      </c>
      <c r="J29" s="2124" t="s">
        <v>19</v>
      </c>
      <c r="K29" s="836"/>
      <c r="L29" s="1785" t="s">
        <v>105</v>
      </c>
      <c r="M29" s="607"/>
      <c r="N29" s="608"/>
      <c r="O29" s="608"/>
      <c r="P29" s="608"/>
      <c r="Q29" s="608"/>
      <c r="R29" s="608"/>
      <c r="S29" s="608"/>
      <c r="T29" s="608"/>
      <c r="U29" s="609"/>
      <c r="V29" s="608"/>
      <c r="W29" s="608"/>
      <c r="X29" s="599"/>
      <c r="Y29" s="599" t="s">
        <v>184</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199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2241</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103</v>
      </c>
      <c r="L34" s="1732" t="s">
        <v>105</v>
      </c>
      <c r="M34" s="815"/>
      <c r="N34" s="816"/>
      <c r="O34" s="608"/>
      <c r="P34" s="608"/>
      <c r="Q34" s="608"/>
      <c r="R34" s="608"/>
      <c r="S34" s="608"/>
      <c r="T34" s="608"/>
      <c r="U34" s="609"/>
      <c r="V34" s="608"/>
      <c r="W34" s="608"/>
      <c r="X34" s="599"/>
      <c r="Y34" s="599" t="s">
        <v>184</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2242</v>
      </c>
    </row>
    <row customHeight="1" ht="11.25"/>
    <row s="459" customFormat="1" customHeight="1" ht="22.5">
      <c r="A39" s="1794"/>
      <c r="B39" s="461"/>
      <c r="C39" s="863"/>
      <c r="D39" s="444"/>
      <c r="E39" s="864"/>
      <c r="F39" s="1815"/>
      <c r="G39" s="1825"/>
      <c r="H39" s="479"/>
    </row>
    <row customHeight="1" ht="11.25"/>
    <row s="1818" customFormat="1" customHeight="1" ht="11.25">
      <c r="A41" s="1818" t="s">
        <v>2243</v>
      </c>
    </row>
    <row customHeight="1" ht="11.25"/>
    <row s="459" customFormat="1" customHeight="1" ht="22.5">
      <c r="A43" s="461"/>
      <c r="B43" s="461"/>
      <c r="C43" s="461"/>
      <c r="D43" s="444"/>
      <c r="E43" s="864"/>
      <c r="F43" s="865"/>
      <c r="G43" s="1825"/>
      <c r="H43" s="479"/>
    </row>
    <row customHeight="1" ht="11.25"/>
    <row s="1818" customFormat="1" customHeight="1" ht="11.25">
      <c r="A45" s="1818" t="s">
        <v>2244</v>
      </c>
    </row>
    <row customHeight="1" ht="11.25"/>
    <row s="459" customFormat="1" customHeight="1" ht="24">
      <c r="A47" s="2219" t="s">
        <v>451</v>
      </c>
      <c r="B47" s="506"/>
      <c r="C47" s="2230"/>
      <c r="D47" s="449" t="str">
        <f>A47</f>
        <v>5.1</v>
      </c>
      <c r="E47" s="446" t="s">
        <v>452</v>
      </c>
      <c r="F47" s="1977" t="s">
        <v>444</v>
      </c>
      <c r="G47" s="448" t="s">
        <v>453</v>
      </c>
      <c r="H47" s="479"/>
      <c r="I47" s="856"/>
    </row>
    <row s="459" customFormat="1" customHeight="1" ht="22.5">
      <c r="A48" s="2219"/>
      <c r="B48" s="506"/>
      <c r="C48" s="2230"/>
      <c r="D48" s="444" t="str">
        <f>D47&amp;".1"</f>
        <v>5.1.1</v>
      </c>
      <c r="E48" s="443" t="s">
        <v>454</v>
      </c>
      <c r="F48" s="1978" t="s">
        <v>22</v>
      </c>
      <c r="G48" s="478"/>
      <c r="H48" s="479"/>
      <c r="I48" s="856"/>
    </row>
    <row s="459" customFormat="1" customHeight="1" ht="22.5">
      <c r="A49" s="2219"/>
      <c r="B49" s="506"/>
      <c r="C49" s="2230"/>
      <c r="D49" s="444" t="str">
        <f>D47&amp;".2"</f>
        <v>5.1.2</v>
      </c>
      <c r="E49" s="443" t="s">
        <v>455</v>
      </c>
      <c r="F49" s="1735" t="s">
        <v>22</v>
      </c>
      <c r="G49" s="448" t="s">
        <v>456</v>
      </c>
      <c r="H49" s="479"/>
      <c r="I49" s="856"/>
    </row>
    <row s="459" customFormat="1" customHeight="1" ht="22.5">
      <c r="A50" s="2219"/>
      <c r="B50" s="506"/>
      <c r="C50" s="2230"/>
      <c r="D50" s="444" t="str">
        <f>D47&amp;".3"</f>
        <v>5.1.3</v>
      </c>
      <c r="E50" s="443" t="s">
        <v>457</v>
      </c>
      <c r="F50" s="1978" t="s">
        <v>22</v>
      </c>
      <c r="G50" s="478"/>
      <c r="H50" s="479"/>
      <c r="I50" s="856"/>
    </row>
    <row s="459" customFormat="1" customHeight="1" ht="22.5">
      <c r="A51" s="2219"/>
      <c r="B51" s="506"/>
      <c r="C51" s="2230"/>
      <c r="D51" s="444" t="str">
        <f>D47&amp;".4"</f>
        <v>5.1.4</v>
      </c>
      <c r="E51" s="443" t="s">
        <v>458</v>
      </c>
      <c r="F51" s="1978" t="s">
        <v>22</v>
      </c>
      <c r="G51" s="448" t="s">
        <v>459</v>
      </c>
      <c r="H51" s="479"/>
      <c r="I51" s="856"/>
    </row>
    <row r="54" s="1818" customFormat="1" customHeight="1" ht="17.25">
      <c r="A54" s="1818" t="s">
        <v>2245</v>
      </c>
    </row>
    <row r="56" s="1616" customFormat="1" customHeight="1" ht="18.75">
      <c r="A56" s="93"/>
      <c r="B56" s="1826"/>
      <c r="C56" s="1826"/>
      <c r="D56" s="1827"/>
      <c r="E56" s="1812"/>
      <c r="F56" s="872">
        <v>13</v>
      </c>
      <c r="G56" s="871"/>
      <c r="H56" s="797"/>
      <c r="I56" s="795"/>
      <c r="J56" s="524" t="s">
        <v>64</v>
      </c>
      <c r="K56" s="1828" t="s">
        <v>22</v>
      </c>
      <c r="L56" s="93"/>
      <c r="M56" s="1640"/>
      <c r="N56" s="1640"/>
      <c r="O56" s="1640"/>
      <c r="P56" s="520" t="s">
        <v>530</v>
      </c>
      <c r="Q56" s="520" t="s">
        <v>531</v>
      </c>
      <c r="R56" s="521" t="s">
        <v>532</v>
      </c>
      <c r="S56" s="1640" t="s">
        <v>533</v>
      </c>
      <c r="T56" s="1640"/>
      <c r="U56" s="1640"/>
      <c r="V56" s="1640"/>
    </row>
    <row r="58" s="1818" customFormat="1" customHeight="1" ht="11.25">
      <c r="A58" s="1818" t="s">
        <v>2246</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519</v>
      </c>
      <c r="AQ60" s="1628" t="s">
        <v>519</v>
      </c>
      <c r="AR60" s="1640"/>
      <c r="AS60" s="1640"/>
    </row>
    <row r="62" s="1818" customFormat="1" customHeight="1" ht="11.25">
      <c r="A62" s="1818" t="s">
        <v>2247</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2248</v>
      </c>
    </row>
    <row r="68" s="1639" customFormat="1" customHeight="1" ht="14.25">
      <c r="A68" s="347"/>
      <c r="B68" s="1164"/>
      <c r="C68" s="380"/>
      <c r="D68" s="1813"/>
      <c r="E68" s="890"/>
      <c r="F68" s="1828"/>
      <c r="G68" s="93"/>
      <c r="I68" s="1628"/>
      <c r="J68" s="1628"/>
    </row>
    <row r="70" s="1818" customFormat="1" customHeight="1" ht="11.25">
      <c r="A70" s="1818" t="s">
        <v>2249</v>
      </c>
    </row>
    <row r="72" s="1639" customFormat="1" customHeight="1" ht="27">
      <c r="A72" s="1170"/>
      <c r="B72" s="1170"/>
      <c r="C72" s="1170"/>
      <c r="D72" s="1164"/>
      <c r="E72" s="1830"/>
      <c r="F72" s="2598"/>
      <c r="G72" s="2599"/>
      <c r="H72" s="2600" t="s">
        <v>64</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64</v>
      </c>
      <c r="Z72" s="1811"/>
      <c r="AA72" s="1795">
        <v>1</v>
      </c>
      <c r="AB72" s="1246"/>
      <c r="AD72" s="1640" t="s">
        <v>2250</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1199</v>
      </c>
    </row>
    <row r="75" s="1818" customFormat="1" customHeight="1" ht="11.25">
      <c r="A75" s="1818" t="s">
        <v>2251</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2250</v>
      </c>
    </row>
    <row r="79" s="1818" customFormat="1" customHeight="1" ht="11.25">
      <c r="A79" s="1818" t="s">
        <v>2252</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514</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1300</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2253</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1313</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2254</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2255</v>
      </c>
    </row>
    <row r="101" s="1639" customFormat="1" customHeight="1" ht="11.25">
      <c r="A101" s="1170"/>
      <c r="B101" s="1170"/>
      <c r="C101" s="1170"/>
      <c r="D101" s="1164"/>
      <c r="E101" s="1174"/>
      <c r="F101" s="1832"/>
      <c r="G101" s="1833"/>
      <c r="H101" s="2532" t="s">
        <v>105</v>
      </c>
      <c r="I101" s="2533"/>
      <c r="J101" s="2502"/>
      <c r="K101" s="2534"/>
      <c r="L101" s="2124" t="s">
        <v>19</v>
      </c>
      <c r="M101" s="2125"/>
      <c r="N101" s="1987"/>
      <c r="O101" s="1181" t="s">
        <v>514</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1313</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1314</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2256</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1447</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2257</v>
      </c>
    </row>
    <row r="115" s="1851" customFormat="1" customHeight="1" ht="15" hidden="1">
      <c r="A115" s="627"/>
      <c r="B115" s="628"/>
      <c r="C115" s="628"/>
      <c r="D115" s="2595" t="s">
        <v>105</v>
      </c>
      <c r="E115" s="2394" t="s">
        <v>173</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754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hidden="1">
      <c r="A116" s="627"/>
      <c r="B116" s="628"/>
      <c r="C116" s="628"/>
      <c r="D116" s="2596"/>
      <c r="E116" s="2394" t="s">
        <v>702</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hidden="1">
      <c r="A117" s="627"/>
      <c r="B117" s="628"/>
      <c r="C117" s="628"/>
      <c r="D117" s="2596"/>
      <c r="E117" s="2394" t="s">
        <v>703</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hidden="1">
      <c r="A118" s="1809"/>
      <c r="B118" s="1164"/>
      <c r="C118" s="416"/>
      <c r="D118" s="2596"/>
      <c r="E118" s="2393" t="s">
        <v>755</v>
      </c>
      <c r="F118" s="2393"/>
      <c r="G118" s="2393"/>
      <c r="H118" s="2393"/>
      <c r="I118" s="2393"/>
      <c r="J118" s="2393"/>
      <c r="K118" s="2393"/>
      <c r="L118" s="2393"/>
      <c r="M118" s="2393"/>
      <c r="N118" s="2393"/>
      <c r="O118" s="2393"/>
      <c r="P118" s="2393"/>
      <c r="Q118" s="562">
        <f>SUMIF(T119:T120,"i",Q119:Q120)</f>
        <v>0</v>
      </c>
      <c r="R118" s="1021"/>
      <c r="S118" s="1801" t="s">
        <v>756</v>
      </c>
      <c r="T118" s="721" t="s">
        <v>757</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hidden="1">
      <c r="A120" s="1809"/>
      <c r="B120" s="1164"/>
      <c r="C120" s="416"/>
      <c r="D120" s="2596"/>
      <c r="E120" s="653" t="s">
        <v>22</v>
      </c>
      <c r="F120" s="1172" t="s">
        <v>22</v>
      </c>
      <c r="G120" s="1172" t="s">
        <v>760</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hidden="1">
      <c r="A121" s="1809"/>
      <c r="B121" s="1164"/>
      <c r="C121" s="416"/>
      <c r="D121" s="2596"/>
      <c r="E121" s="2393" t="s">
        <v>758</v>
      </c>
      <c r="F121" s="2393"/>
      <c r="G121" s="2393"/>
      <c r="H121" s="2393"/>
      <c r="I121" s="2393"/>
      <c r="J121" s="2393"/>
      <c r="K121" s="2393"/>
      <c r="L121" s="2393"/>
      <c r="M121" s="2393"/>
      <c r="N121" s="2393"/>
      <c r="O121" s="2393"/>
      <c r="P121" s="2393"/>
      <c r="Q121" s="562">
        <f>SUMIF(T122:T123,"i",Q122:Q123)</f>
        <v>0</v>
      </c>
      <c r="R121" s="1021"/>
      <c r="S121" s="1801" t="s">
        <v>759</v>
      </c>
      <c r="T121" s="721" t="s">
        <v>757</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hidden="1">
      <c r="A123" s="1809"/>
      <c r="B123" s="1164"/>
      <c r="C123" s="416"/>
      <c r="D123" s="2597"/>
      <c r="E123" s="653" t="s">
        <v>22</v>
      </c>
      <c r="F123" s="1172" t="s">
        <v>22</v>
      </c>
      <c r="G123" s="1172" t="s">
        <v>760</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2258</v>
      </c>
    </row>
    <row r="127" s="1851" customFormat="1" customHeight="1" ht="15">
      <c r="A127" s="627"/>
      <c r="B127" s="628"/>
      <c r="C127" s="628"/>
      <c r="D127" s="2595" t="s">
        <v>105</v>
      </c>
      <c r="E127" s="2394" t="s">
        <v>173</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754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702</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703</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755</v>
      </c>
      <c r="F130" s="2393"/>
      <c r="G130" s="2393"/>
      <c r="H130" s="2393"/>
      <c r="I130" s="2393"/>
      <c r="J130" s="2393"/>
      <c r="K130" s="2393"/>
      <c r="L130" s="2393"/>
      <c r="M130" s="2393"/>
      <c r="N130" s="2393"/>
      <c r="O130" s="2393"/>
      <c r="P130" s="2393"/>
      <c r="Q130" s="562">
        <f>SUMIF(T131:T132,"i",Q131:Q132)</f>
        <v>0</v>
      </c>
      <c r="R130" s="1021"/>
      <c r="S130" s="1801" t="s">
        <v>756</v>
      </c>
      <c r="T130" s="721" t="s">
        <v>757</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760</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757</v>
      </c>
      <c r="U133" s="2391">
        <v>1</v>
      </c>
      <c r="V133" s="2391" t="s">
        <v>713</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2259</v>
      </c>
    </row>
    <row r="139" s="1851" customFormat="1" customHeight="1" ht="45">
      <c r="A139" s="1809"/>
      <c r="B139" s="1164"/>
      <c r="C139" s="416"/>
      <c r="D139" s="93"/>
      <c r="E139" s="2589"/>
      <c r="F139" s="2125" t="s">
        <v>105</v>
      </c>
      <c r="G139" s="2592" t="s">
        <v>22</v>
      </c>
      <c r="H139" s="293"/>
      <c r="I139" s="641" t="s">
        <v>105</v>
      </c>
      <c r="J139" s="1810" t="s">
        <v>2260</v>
      </c>
      <c r="K139" s="642" t="s">
        <v>684</v>
      </c>
      <c r="L139" s="2241" t="s">
        <v>684</v>
      </c>
      <c r="M139" s="2594"/>
      <c r="N139" s="642" t="s">
        <v>684</v>
      </c>
      <c r="O139" s="642" t="s">
        <v>684</v>
      </c>
      <c r="P139" s="642" t="s">
        <v>684</v>
      </c>
      <c r="Q139" s="643">
        <f>SUM(Q140:Q142)</f>
        <v>0</v>
      </c>
      <c r="R139" s="643">
        <f>IF(R136=0,0,(Q136/R136)*100)</f>
        <v>0</v>
      </c>
      <c r="S139" s="2196"/>
      <c r="T139" s="721" t="s">
        <v>757</v>
      </c>
      <c r="U139" s="93"/>
      <c r="V139" s="93"/>
      <c r="AC139" s="93"/>
    </row>
    <row s="1851" customFormat="1" customHeight="1" ht="11.25">
      <c r="A140" s="1809"/>
      <c r="B140" s="1164"/>
      <c r="C140" s="416"/>
      <c r="D140" s="93"/>
      <c r="E140" s="2590"/>
      <c r="F140" s="2125"/>
      <c r="G140" s="2592"/>
      <c r="H140" s="2144"/>
      <c r="I140" s="2532" t="s">
        <v>1352</v>
      </c>
      <c r="J140" s="2586"/>
      <c r="K140" s="2587"/>
      <c r="L140" s="644"/>
      <c r="M140" s="645" t="s">
        <v>105</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2261</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2262</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1352</v>
      </c>
      <c r="J147" s="2586"/>
      <c r="K147" s="2587"/>
      <c r="L147" s="644"/>
      <c r="M147" s="645" t="s">
        <v>105</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2261</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105</v>
      </c>
      <c r="N150" s="1798"/>
      <c r="O150" s="646"/>
      <c r="P150" s="647"/>
      <c r="Q150" s="646"/>
      <c r="R150" s="648">
        <v>0</v>
      </c>
      <c r="S150" s="93"/>
      <c r="T150" s="721"/>
      <c r="U150" s="93"/>
      <c r="V150" s="93"/>
      <c r="AC150" s="93"/>
    </row>
    <row r="152" s="1818" customFormat="1" customHeight="1" ht="17.25">
      <c r="A152" s="1818" t="s">
        <v>2263</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64</v>
      </c>
      <c r="L154" s="2125"/>
      <c r="M154" s="2125" t="s">
        <v>105</v>
      </c>
      <c r="N154" s="2521" t="str">
        <f>IF(Z154="","",INDEX(TERRITORY_MR_LIST,MATCH(Z154,TERRITORY_LIST_ID,0)))</f>
        <v/>
      </c>
      <c r="O154" s="2202" t="s">
        <v>64</v>
      </c>
      <c r="P154" s="2125"/>
      <c r="Q154" s="2125" t="s">
        <v>105</v>
      </c>
      <c r="R154" s="2519" t="s">
        <v>22</v>
      </c>
      <c r="S154" s="2124" t="s">
        <v>64</v>
      </c>
      <c r="T154" s="1814"/>
      <c r="U154" s="1814" t="s">
        <v>105</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552</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553</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554</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586</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64</v>
      </c>
      <c r="L160" s="2125"/>
      <c r="M160" s="2125" t="s">
        <v>105</v>
      </c>
      <c r="N160" s="2521" t="str">
        <f>IF(Z160="","",INDEX(TERRITORY_MR_LIST,MATCH(Z160,TERRITORY_LIST_ID,0)))</f>
        <v/>
      </c>
      <c r="O160" s="2202" t="s">
        <v>64</v>
      </c>
      <c r="P160" s="2125"/>
      <c r="Q160" s="2125" t="s">
        <v>105</v>
      </c>
      <c r="R160" s="2519" t="s">
        <v>22</v>
      </c>
      <c r="S160" s="2124" t="s">
        <v>64</v>
      </c>
      <c r="T160" s="1814"/>
      <c r="U160" s="1814" t="s">
        <v>105</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552</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553</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554</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105</v>
      </c>
      <c r="N165" s="2521" t="str">
        <f>IF(Z165="","",INDEX(TERRITORY_MR_LIST,MATCH(Z165,TERRITORY_LIST_ID,0)))</f>
        <v/>
      </c>
      <c r="O165" s="2202" t="s">
        <v>64</v>
      </c>
      <c r="P165" s="2125"/>
      <c r="Q165" s="2125" t="s">
        <v>105</v>
      </c>
      <c r="R165" s="2519" t="s">
        <v>22</v>
      </c>
      <c r="S165" s="2124" t="s">
        <v>64</v>
      </c>
      <c r="T165" s="1814"/>
      <c r="U165" s="1814" t="s">
        <v>105</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552</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553</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105</v>
      </c>
      <c r="R169" s="2519" t="s">
        <v>22</v>
      </c>
      <c r="S169" s="2124" t="s">
        <v>64</v>
      </c>
      <c r="T169" s="1814"/>
      <c r="U169" s="1814" t="s">
        <v>105</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552</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105</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2264</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64</v>
      </c>
      <c r="L176" s="2125"/>
      <c r="M176" s="2125" t="s">
        <v>105</v>
      </c>
      <c r="N176" s="2521" t="str">
        <f>IF(Z176="","",INDEX(TERRITORY_MR_LIST,MATCH(Z176,TERRITORY_LIST_ID,0)))</f>
        <v/>
      </c>
      <c r="O176" s="2202" t="s">
        <v>64</v>
      </c>
      <c r="P176" s="2125"/>
      <c r="Q176" s="2125" t="s">
        <v>105</v>
      </c>
      <c r="R176" s="2519" t="s">
        <v>22</v>
      </c>
      <c r="S176" s="2423" t="s">
        <v>19</v>
      </c>
      <c r="T176" s="1805"/>
      <c r="U176" s="1805" t="s">
        <v>105</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553</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554</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586</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64</v>
      </c>
      <c r="L182" s="2125"/>
      <c r="M182" s="2125" t="s">
        <v>105</v>
      </c>
      <c r="N182" s="2521" t="str">
        <f>IF(Z182="","",INDEX(TERRITORY_MR_LIST,MATCH(Z182,TERRITORY_LIST_ID,0)))</f>
        <v/>
      </c>
      <c r="O182" s="2202" t="s">
        <v>64</v>
      </c>
      <c r="P182" s="2125"/>
      <c r="Q182" s="2125" t="s">
        <v>105</v>
      </c>
      <c r="R182" s="2519" t="s">
        <v>22</v>
      </c>
      <c r="S182" s="2423" t="s">
        <v>19</v>
      </c>
      <c r="T182" s="1805"/>
      <c r="U182" s="1805" t="s">
        <v>105</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553</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554</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105</v>
      </c>
      <c r="N187" s="2521" t="str">
        <f>IF(Z187="","",INDEX(TERRITORY_MR_LIST,MATCH(Z187,TERRITORY_LIST_ID,0)))</f>
        <v/>
      </c>
      <c r="O187" s="2202" t="s">
        <v>64</v>
      </c>
      <c r="P187" s="2125"/>
      <c r="Q187" s="2125" t="s">
        <v>105</v>
      </c>
      <c r="R187" s="2519" t="s">
        <v>22</v>
      </c>
      <c r="S187" s="2423" t="s">
        <v>19</v>
      </c>
      <c r="T187" s="1805"/>
      <c r="U187" s="1805" t="s">
        <v>105</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553</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105</v>
      </c>
      <c r="R191" s="2519" t="s">
        <v>22</v>
      </c>
      <c r="S191" s="2423" t="s">
        <v>19</v>
      </c>
      <c r="T191" s="1805"/>
      <c r="U191" s="1805" t="s">
        <v>105</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2265</v>
      </c>
    </row>
    <row customHeight="1" ht="17.25">
      <c r="G201" s="1840"/>
      <c r="H201" s="1840"/>
      <c r="I201" s="1840"/>
      <c r="M201" s="1836"/>
    </row>
    <row s="1851" customFormat="1" customHeight="1" ht="15">
      <c r="D202" s="2540"/>
      <c r="E202" s="2216"/>
      <c r="F202" s="2216"/>
      <c r="G202" s="2202"/>
      <c r="H202" s="1568"/>
      <c r="I202" s="2544">
        <v>1</v>
      </c>
      <c r="J202" s="2518"/>
      <c r="K202" s="1583"/>
      <c r="L202" s="2202" t="s">
        <v>64</v>
      </c>
      <c r="M202" s="2202" t="s">
        <v>64</v>
      </c>
      <c r="N202" s="1568"/>
      <c r="O202" s="2125" t="s">
        <v>105</v>
      </c>
      <c r="P202" s="2534"/>
      <c r="Q202" s="1584"/>
      <c r="R202" s="2202" t="s">
        <v>64</v>
      </c>
      <c r="S202" s="2202" t="s">
        <v>64</v>
      </c>
      <c r="T202" s="1856"/>
      <c r="U202" s="2125" t="s">
        <v>105</v>
      </c>
      <c r="V202" s="2541" t="str">
        <f>IF(AK202="","",INDEX(TERRITORY_MR_LIST,MATCH(AK202,TERRITORY_LIST_ID,0)))</f>
        <v/>
      </c>
      <c r="W202" s="1585"/>
      <c r="X202" s="2202" t="s">
        <v>64</v>
      </c>
      <c r="Y202" s="2202" t="s">
        <v>19</v>
      </c>
      <c r="Z202" s="1568"/>
      <c r="AA202" s="2125" t="s">
        <v>105</v>
      </c>
      <c r="AB202" s="2543"/>
      <c r="AC202" s="1586"/>
      <c r="AD202" s="2202" t="s">
        <v>64</v>
      </c>
      <c r="AE202" s="2202" t="s">
        <v>19</v>
      </c>
      <c r="AF202" s="1566"/>
      <c r="AG202" s="1814" t="s">
        <v>105</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2266</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2267</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171</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2268</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586</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0567-97F8-47C8-F2B8-363D2BCB87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2269</v>
      </c>
      <c r="B1" s="850"/>
      <c r="C1" s="986" t="s">
        <v>2270</v>
      </c>
      <c r="D1" s="984" t="s">
        <v>1008</v>
      </c>
      <c r="E1" s="984" t="s">
        <v>1054</v>
      </c>
      <c r="F1" s="984" t="s">
        <v>1108</v>
      </c>
      <c r="G1" s="984" t="s">
        <v>1095</v>
      </c>
      <c r="H1" s="984" t="s">
        <v>1948</v>
      </c>
    </row>
    <row customHeight="1" ht="9">
      <c r="A2" s="987" t="s">
        <v>2271</v>
      </c>
      <c r="B2" s="987"/>
      <c r="C2" s="988" t="str">
        <f>INDEX(TEMPLATE_NUMBER_FORM_LIST,MATCH(TEMPLATE_SPHERE,TEMPLATE_SPHERE_LIST,0))</f>
        <v>10</v>
      </c>
      <c r="D2" s="987" t="s">
        <v>130</v>
      </c>
      <c r="E2" s="987" t="s">
        <v>155</v>
      </c>
      <c r="F2" s="989" t="s">
        <v>155</v>
      </c>
      <c r="G2" s="987" t="s">
        <v>155</v>
      </c>
      <c r="H2" s="990"/>
    </row>
    <row customHeight="1" ht="63">
      <c r="A3" s="850"/>
      <c r="B3" s="850" t="s">
        <v>105</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2272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2273</v>
      </c>
      <c r="B4" s="850" t="s">
        <v>102</v>
      </c>
      <c r="C4" s="988" t="str">
        <f>IF(TEMPLATE_SPHERE="HEAT",D4,IF(TEMPLATE_SPHERE="TKO",H4,E4))</f>
        <v>Форма 1. Информация об организации, осуществляющей холодное водоснабжение (общая информация)</v>
      </c>
      <c r="D4" s="987" t="s">
        <v>2274</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2275</v>
      </c>
    </row>
    <row customHeight="1" ht="117">
      <c r="A5" s="850" t="s">
        <v>2276</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2277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2278</v>
      </c>
    </row>
    <row customHeight="1" ht="90">
      <c r="A6" s="850" t="s">
        <v>2279</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2280</v>
      </c>
      <c r="B7" s="850" t="s">
        <v>120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2281</v>
      </c>
      <c r="E7" s="850" t="s">
        <v>2282</v>
      </c>
      <c r="F7" s="990"/>
      <c r="G7" s="990"/>
      <c r="H7" s="990"/>
    </row>
    <row customHeight="1" ht="108">
      <c r="A8" s="850" t="s">
        <v>2283</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1491</v>
      </c>
      <c r="E8" s="850" t="s">
        <v>2284</v>
      </c>
      <c r="F8" s="990"/>
      <c r="G8" s="990"/>
      <c r="H8" s="990"/>
    </row>
    <row customHeight="1" ht="99">
      <c r="A9" s="850" t="s">
        <v>2285</v>
      </c>
      <c r="B9" s="850"/>
      <c r="C9" s="850" t="s">
        <v>2286</v>
      </c>
      <c r="D9" s="850"/>
      <c r="E9" s="850"/>
      <c r="F9" s="990"/>
      <c r="G9" s="990"/>
      <c r="H9" s="990"/>
    </row>
    <row customHeight="1" ht="126">
      <c r="A10" s="850" t="s">
        <v>2287</v>
      </c>
      <c r="B10" s="850"/>
      <c r="C10" s="850" t="s">
        <v>2288</v>
      </c>
      <c r="D10" s="850"/>
      <c r="E10" s="850"/>
      <c r="F10" s="990"/>
      <c r="G10" s="990"/>
      <c r="H10" s="990"/>
    </row>
    <row customHeight="1" ht="108">
      <c r="A11" s="850" t="s">
        <v>2289</v>
      </c>
      <c r="B11" s="850"/>
      <c r="C11" s="850" t="s">
        <v>2290</v>
      </c>
      <c r="D11" s="850"/>
      <c r="E11" s="850"/>
      <c r="F11" s="990"/>
      <c r="G11" s="990"/>
      <c r="H11" s="990"/>
    </row>
    <row customHeight="1" ht="54">
      <c r="A12" s="850" t="s">
        <v>2291</v>
      </c>
      <c r="B12" s="850"/>
      <c r="C12" s="850" t="s">
        <v>2292</v>
      </c>
      <c r="D12" s="850"/>
      <c r="E12" s="850"/>
      <c r="F12" s="990"/>
      <c r="G12" s="990"/>
      <c r="H12" s="990"/>
    </row>
    <row customHeight="1" ht="45">
      <c r="A13" s="850" t="s">
        <v>2293</v>
      </c>
      <c r="B13" s="850"/>
      <c r="C13" s="850" t="s">
        <v>2294</v>
      </c>
      <c r="D13" s="850"/>
      <c r="E13" s="850"/>
      <c r="F13" s="990"/>
      <c r="G13" s="990"/>
      <c r="H13" s="990"/>
    </row>
    <row customHeight="1" ht="117">
      <c r="A14" s="850" t="s">
        <v>2295</v>
      </c>
      <c r="B14" s="850"/>
      <c r="C14" s="850" t="s">
        <v>2296</v>
      </c>
      <c r="D14" s="850"/>
      <c r="E14" s="850"/>
      <c r="F14" s="990"/>
      <c r="G14" s="990"/>
      <c r="H14" s="990"/>
    </row>
    <row customHeight="1" ht="117">
      <c r="A15" s="850" t="s">
        <v>2297</v>
      </c>
      <c r="B15" s="850"/>
      <c r="C15" s="850" t="s">
        <v>2298</v>
      </c>
      <c r="D15" s="850"/>
      <c r="E15" s="850"/>
      <c r="F15" s="990"/>
      <c r="G15" s="990"/>
      <c r="H15" s="990"/>
    </row>
    <row customHeight="1" ht="63">
      <c r="A16" s="850" t="s">
        <v>2299</v>
      </c>
      <c r="B16" s="850"/>
      <c r="C16" s="850" t="s">
        <v>2300</v>
      </c>
      <c r="D16" s="850"/>
      <c r="E16" s="850"/>
      <c r="F16" s="990"/>
      <c r="G16" s="990"/>
      <c r="H16" s="990"/>
    </row>
    <row customHeight="1" ht="54">
      <c r="A17" s="850" t="s">
        <v>2301</v>
      </c>
      <c r="B17" s="850"/>
      <c r="C17" s="988" t="s">
        <v>2302</v>
      </c>
      <c r="D17" s="850"/>
      <c r="E17" s="850"/>
      <c r="F17" s="990"/>
      <c r="G17" s="990"/>
      <c r="H17" s="990"/>
    </row>
    <row customHeight="1" ht="27">
      <c r="A18" s="850" t="s">
        <v>2303</v>
      </c>
      <c r="B18" s="850"/>
      <c r="C18" s="988" t="s">
        <v>2304</v>
      </c>
      <c r="D18" s="850"/>
      <c r="E18" s="850"/>
      <c r="F18" s="990"/>
      <c r="G18" s="990"/>
      <c r="H18" s="990"/>
    </row>
    <row customHeight="1" ht="54">
      <c r="A19" s="850" t="s">
        <v>2305</v>
      </c>
      <c r="B19" s="850"/>
      <c r="C19" s="988" t="s">
        <v>2306</v>
      </c>
      <c r="D19" s="850"/>
      <c r="E19" s="850"/>
      <c r="F19" s="990"/>
      <c r="G19" s="990"/>
      <c r="H19" s="990"/>
    </row>
    <row customHeight="1" ht="36">
      <c r="A20" s="850" t="s">
        <v>2307</v>
      </c>
      <c r="B20" s="850"/>
      <c r="C20" s="988" t="s">
        <v>2308</v>
      </c>
      <c r="D20" s="850"/>
      <c r="E20" s="850"/>
      <c r="F20" s="990"/>
      <c r="G20" s="990"/>
      <c r="H20" s="990"/>
    </row>
    <row customHeight="1" ht="36">
      <c r="A21" s="850" t="s">
        <v>2309</v>
      </c>
      <c r="B21" s="850"/>
      <c r="C21" s="988" t="s">
        <v>2310</v>
      </c>
      <c r="D21" s="850"/>
      <c r="E21" s="850"/>
      <c r="F21" s="990"/>
      <c r="G21" s="990"/>
      <c r="H21" s="990"/>
    </row>
    <row customHeight="1" ht="27">
      <c r="A22" s="850" t="s">
        <v>2311</v>
      </c>
      <c r="B22" s="850"/>
      <c r="C22" s="988" t="s">
        <v>2312</v>
      </c>
      <c r="D22" s="850"/>
      <c r="E22" s="850"/>
      <c r="F22" s="990"/>
      <c r="G22" s="990"/>
      <c r="H22" s="990"/>
    </row>
    <row customHeight="1" ht="36">
      <c r="A23" s="850" t="s">
        <v>2313</v>
      </c>
      <c r="B23" s="850"/>
      <c r="C23" s="988" t="s">
        <v>2314</v>
      </c>
      <c r="D23" s="850"/>
      <c r="E23" s="850"/>
      <c r="F23" s="990"/>
      <c r="G23" s="990"/>
      <c r="H23" s="990"/>
    </row>
    <row customHeight="1" ht="28.5">
      <c r="A24" s="850" t="s">
        <v>2315</v>
      </c>
      <c r="B24" s="850"/>
      <c r="C24" s="988" t="s">
        <v>2316</v>
      </c>
      <c r="D24" s="850"/>
      <c r="E24" s="850"/>
      <c r="F24" s="990"/>
      <c r="G24" s="990"/>
      <c r="H24" s="990"/>
    </row>
    <row customHeight="1" ht="36">
      <c r="A25" s="850" t="s">
        <v>2317</v>
      </c>
      <c r="B25" s="850"/>
      <c r="C25" s="988" t="s">
        <v>2318</v>
      </c>
      <c r="D25" s="850"/>
      <c r="E25" s="850"/>
      <c r="F25" s="990"/>
      <c r="G25" s="990"/>
      <c r="H25" s="990"/>
    </row>
    <row customHeight="1" ht="27">
      <c r="A26" s="850" t="s">
        <v>2319</v>
      </c>
      <c r="B26" s="850"/>
      <c r="C26" s="988" t="s">
        <v>2320</v>
      </c>
      <c r="D26" s="850"/>
      <c r="E26" s="850"/>
      <c r="F26" s="990"/>
      <c r="G26" s="990"/>
      <c r="H26" s="990"/>
    </row>
    <row customHeight="1" ht="36">
      <c r="A27" s="850" t="s">
        <v>2321</v>
      </c>
      <c r="B27" s="850"/>
      <c r="C27" s="988" t="s">
        <v>2322</v>
      </c>
      <c r="D27" s="850"/>
      <c r="E27" s="850"/>
      <c r="F27" s="990"/>
      <c r="G27" s="990"/>
      <c r="H27" s="990"/>
    </row>
    <row customHeight="1" ht="28.5">
      <c r="A28" s="850" t="s">
        <v>2323</v>
      </c>
      <c r="B28" s="850"/>
      <c r="C28" s="988" t="s">
        <v>2324</v>
      </c>
      <c r="D28" s="850"/>
      <c r="E28" s="850"/>
      <c r="F28" s="990"/>
      <c r="G28" s="990"/>
      <c r="H28" s="990"/>
    </row>
    <row customHeight="1" ht="126">
      <c r="A29" s="850" t="s">
        <v>2325</v>
      </c>
      <c r="B29" s="850" t="s">
        <v>1900</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2326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2327</v>
      </c>
    </row>
    <row customHeight="1" ht="36">
      <c r="A30" s="850" t="s">
        <v>2328</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2329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2330</v>
      </c>
      <c r="B31" s="850"/>
      <c r="C31" s="988" t="str">
        <f>IF(TEMPLATE_SPHERE="HEAT",D31,IF(TEMPLATE_SPHERE="TKO",H31,E31))</f>
        <v>Форма 1. Информация об организации, осуществляющей холодное водоснабжение (общая информация)</v>
      </c>
      <c r="D31" s="850" t="s">
        <v>2331</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2332</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2333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2334</v>
      </c>
    </row>
    <row customHeight="1" ht="9">
      <c r="A33" s="850"/>
      <c r="B33" s="850"/>
      <c r="C33" s="988"/>
      <c r="D33" s="850"/>
      <c r="E33" s="850"/>
      <c r="F33" s="990"/>
      <c r="G33" s="990"/>
      <c r="H33" s="990"/>
    </row>
    <row customHeight="1" ht="9">
      <c r="A34" s="850"/>
      <c r="B34" s="850" t="s">
        <v>1837</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06D7F5-DB6D-CF79-4428-2382A087A5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2335</v>
      </c>
      <c r="D1" s="902"/>
      <c r="E1" s="902"/>
      <c r="F1" s="902"/>
      <c r="G1" s="902"/>
      <c r="H1" s="902" t="s">
        <v>2336</v>
      </c>
      <c r="I1" s="902"/>
      <c r="J1" s="902"/>
      <c r="K1" s="902"/>
      <c r="L1" s="902"/>
      <c r="M1" s="902" t="s">
        <v>2337</v>
      </c>
      <c r="N1" s="902" t="s">
        <v>2338</v>
      </c>
      <c r="O1" s="2609" t="s">
        <v>2339</v>
      </c>
      <c r="P1" s="2609"/>
      <c r="Q1" s="2609"/>
      <c r="R1" s="2609"/>
      <c r="S1" s="2609"/>
      <c r="T1" s="2609" t="s">
        <v>2337</v>
      </c>
      <c r="U1" s="2609"/>
      <c r="V1" s="2609"/>
      <c r="W1" s="2609"/>
      <c r="X1" s="2609"/>
      <c r="Y1" s="1003"/>
      <c r="Z1" s="2609" t="s">
        <v>2340</v>
      </c>
      <c r="AA1" s="2609"/>
      <c r="AB1" s="2609"/>
      <c r="AC1" s="2609"/>
      <c r="AD1" s="2609"/>
    </row>
    <row customHeight="1" ht="18">
      <c r="A2" s="850"/>
      <c r="B2" s="850"/>
      <c r="C2" s="845" t="s">
        <v>1008</v>
      </c>
      <c r="D2" s="845" t="s">
        <v>1054</v>
      </c>
      <c r="E2" s="845" t="s">
        <v>1108</v>
      </c>
      <c r="F2" s="845" t="s">
        <v>1095</v>
      </c>
      <c r="G2" s="845" t="s">
        <v>1948</v>
      </c>
      <c r="H2" s="847"/>
      <c r="I2" s="847"/>
      <c r="J2" s="847"/>
      <c r="K2" s="847"/>
      <c r="L2" s="847"/>
      <c r="M2" s="847"/>
      <c r="N2" s="847"/>
      <c r="O2" s="845" t="s">
        <v>1008</v>
      </c>
      <c r="P2" s="845" t="s">
        <v>1054</v>
      </c>
      <c r="Q2" s="845" t="s">
        <v>1095</v>
      </c>
      <c r="R2" s="845" t="s">
        <v>1108</v>
      </c>
      <c r="S2" s="845" t="s">
        <v>1948</v>
      </c>
      <c r="T2" s="845" t="s">
        <v>1008</v>
      </c>
      <c r="U2" s="845" t="s">
        <v>1054</v>
      </c>
      <c r="V2" s="845" t="s">
        <v>1095</v>
      </c>
      <c r="W2" s="845" t="s">
        <v>1108</v>
      </c>
      <c r="X2" s="845" t="s">
        <v>1948</v>
      </c>
      <c r="Y2" s="845"/>
      <c r="Z2" s="845" t="s">
        <v>1008</v>
      </c>
      <c r="AA2" s="854" t="s">
        <v>1054</v>
      </c>
      <c r="AB2" s="845" t="s">
        <v>1095</v>
      </c>
      <c r="AC2" s="845" t="s">
        <v>1108</v>
      </c>
      <c r="AD2" s="845" t="s">
        <v>1948</v>
      </c>
    </row>
    <row customHeight="1" ht="162">
      <c r="A3" s="849" t="s">
        <v>27</v>
      </c>
      <c r="B3" s="849"/>
      <c r="C3" s="2613" t="s">
        <v>2341</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2342</v>
      </c>
      <c r="AA3" s="847" t="s">
        <v>2343</v>
      </c>
      <c r="AB3" s="850" t="s">
        <v>2344</v>
      </c>
      <c r="AC3" s="850" t="s">
        <v>2345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1887</v>
      </c>
      <c r="D11" s="2616" t="s">
        <v>1883</v>
      </c>
      <c r="E11" s="2616" t="s">
        <v>122</v>
      </c>
      <c r="F11" s="2616" t="s">
        <v>2346</v>
      </c>
      <c r="G11" s="2616"/>
      <c r="H11" s="902" t="s">
        <v>2347</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2348</v>
      </c>
      <c r="U11" s="847" t="s">
        <v>2349</v>
      </c>
      <c r="V11" s="847"/>
      <c r="W11" s="847"/>
      <c r="X11" s="847"/>
      <c r="Y11" s="1004"/>
      <c r="Z11" s="850" t="s">
        <v>2350</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610"/>
      <c r="B12" s="903">
        <v>2</v>
      </c>
      <c r="C12" s="2617"/>
      <c r="D12" s="2617"/>
      <c r="E12" s="2617"/>
      <c r="F12" s="2617"/>
      <c r="G12" s="2617"/>
      <c r="H12" s="902" t="s">
        <v>2351</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2352</v>
      </c>
      <c r="U12" s="847" t="s">
        <v>2353</v>
      </c>
      <c r="V12" s="847"/>
      <c r="W12" s="847"/>
      <c r="X12" s="847"/>
      <c r="Y12" s="1004"/>
      <c r="Z12" s="850" t="s">
        <v>2354</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610"/>
      <c r="B13" s="903">
        <v>3</v>
      </c>
      <c r="C13" s="2617"/>
      <c r="D13" s="2617"/>
      <c r="E13" s="2617"/>
      <c r="F13" s="2617"/>
      <c r="G13" s="2617"/>
      <c r="H13" s="2609" t="s">
        <v>2355</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2356</v>
      </c>
      <c r="U13" s="848" t="s">
        <v>2357</v>
      </c>
      <c r="V13" s="848"/>
      <c r="W13" s="848"/>
      <c r="X13" s="847"/>
      <c r="Y13" s="1004"/>
      <c r="Z13" s="850" t="s">
        <v>2358</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2359</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2360</v>
      </c>
      <c r="AA14" s="853" t="s">
        <v>2360</v>
      </c>
      <c r="AB14" s="850"/>
      <c r="AC14" s="850"/>
      <c r="AD14" s="850"/>
    </row>
    <row customHeight="1" ht="108">
      <c r="A15" s="2610"/>
      <c r="B15" s="903">
        <v>5</v>
      </c>
      <c r="C15" s="2617"/>
      <c r="D15" s="2617"/>
      <c r="E15" s="2617"/>
      <c r="F15" s="2617"/>
      <c r="G15" s="2617"/>
      <c r="H15" s="2611" t="s">
        <v>2361</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2362</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2363</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2363</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1983</v>
      </c>
      <c r="B18" s="903">
        <v>1</v>
      </c>
      <c r="C18" s="847" t="s">
        <v>2347</v>
      </c>
      <c r="D18" s="971" t="s">
        <v>2347</v>
      </c>
      <c r="E18" s="847" t="s">
        <v>2347</v>
      </c>
      <c r="F18" s="847" t="s">
        <v>2347</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2364</v>
      </c>
      <c r="U18" s="850" t="s">
        <v>2365</v>
      </c>
      <c r="V18" s="850" t="s">
        <v>2366</v>
      </c>
      <c r="W18" s="850" t="s">
        <v>2367</v>
      </c>
      <c r="X18" s="847"/>
      <c r="Y18" s="1004"/>
      <c r="Z18" s="850" t="s">
        <v>2368</v>
      </c>
      <c r="AA18" s="853" t="s">
        <v>2369</v>
      </c>
      <c r="AB18" s="853" t="s">
        <v>2369</v>
      </c>
      <c r="AC18" s="853" t="s">
        <v>2369</v>
      </c>
      <c r="AD18" s="850"/>
    </row>
    <row customHeight="1" ht="36">
      <c r="A19" s="849"/>
      <c r="B19" s="903">
        <v>2</v>
      </c>
      <c r="C19" s="847" t="s">
        <v>2351</v>
      </c>
      <c r="D19" s="971" t="s">
        <v>2351</v>
      </c>
      <c r="E19" s="847" t="s">
        <v>2351</v>
      </c>
      <c r="F19" s="847" t="s">
        <v>2351</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2370</v>
      </c>
      <c r="U19" s="850" t="s">
        <v>2371</v>
      </c>
      <c r="V19" s="850" t="s">
        <v>2372</v>
      </c>
      <c r="W19" s="850" t="s">
        <v>2373</v>
      </c>
      <c r="X19" s="847"/>
      <c r="Y19" s="1004"/>
      <c r="Z19" s="850" t="s">
        <v>2374</v>
      </c>
      <c r="AA19" s="853" t="s">
        <v>2374</v>
      </c>
      <c r="AB19" s="853" t="s">
        <v>2374</v>
      </c>
      <c r="AC19" s="853" t="s">
        <v>2374</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891</v>
      </c>
      <c r="P20" s="961" t="s">
        <v>891</v>
      </c>
      <c r="Q20" s="961" t="s">
        <v>891</v>
      </c>
      <c r="R20" s="961" t="s">
        <v>891</v>
      </c>
      <c r="S20" s="961"/>
      <c r="T20" s="968" t="s">
        <v>2375</v>
      </c>
      <c r="U20" s="850" t="s">
        <v>2376</v>
      </c>
      <c r="V20" s="850" t="s">
        <v>2377</v>
      </c>
      <c r="W20" s="850" t="s">
        <v>2378</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445</v>
      </c>
      <c r="P21" s="961"/>
      <c r="Q21" s="961"/>
      <c r="R21" s="961"/>
      <c r="S21" s="961"/>
      <c r="T21" s="968" t="s">
        <v>2379</v>
      </c>
      <c r="U21" s="850"/>
      <c r="V21" s="850"/>
      <c r="W21" s="850"/>
      <c r="X21" s="847"/>
      <c r="Y21" s="1004"/>
      <c r="Z21" s="850" t="s">
        <v>2380</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445</v>
      </c>
      <c r="R22" s="961"/>
      <c r="S22" s="961"/>
      <c r="T22" s="968"/>
      <c r="U22" s="850"/>
      <c r="V22" s="850" t="s">
        <v>2381</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448</v>
      </c>
      <c r="R23" s="961"/>
      <c r="S23" s="961"/>
      <c r="T23" s="968"/>
      <c r="U23" s="850"/>
      <c r="V23" s="850" t="s">
        <v>2382</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911</v>
      </c>
      <c r="R24" s="961"/>
      <c r="S24" s="961"/>
      <c r="T24" s="968"/>
      <c r="U24" s="850"/>
      <c r="V24" s="850" t="s">
        <v>2383</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448</v>
      </c>
      <c r="P25" s="961" t="s">
        <v>445</v>
      </c>
      <c r="Q25" s="961" t="s">
        <v>918</v>
      </c>
      <c r="R25" s="961" t="s">
        <v>445</v>
      </c>
      <c r="S25" s="961"/>
      <c r="T25" s="968" t="s">
        <v>2384</v>
      </c>
      <c r="U25" s="850" t="s">
        <v>2384</v>
      </c>
      <c r="V25" s="850" t="s">
        <v>2384</v>
      </c>
      <c r="W25" s="850" t="s">
        <v>2384</v>
      </c>
      <c r="X25" s="847"/>
      <c r="Y25" s="1004"/>
      <c r="Z25" s="850"/>
      <c r="AA25" s="853"/>
      <c r="AB25" s="850"/>
      <c r="AC25" s="850"/>
      <c r="AD25" s="850"/>
    </row>
    <row customHeight="1" ht="18">
      <c r="A26" s="849"/>
      <c r="B26" s="903">
        <v>9</v>
      </c>
      <c r="C26" s="847" t="s">
        <v>835</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907</v>
      </c>
      <c r="P26" s="961" t="s">
        <v>901</v>
      </c>
      <c r="Q26" s="961" t="s">
        <v>2385</v>
      </c>
      <c r="R26" s="961" t="s">
        <v>901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2386</v>
      </c>
      <c r="V26" s="968" t="s">
        <v>2386</v>
      </c>
      <c r="W26" s="968" t="s">
        <v>2386</v>
      </c>
      <c r="X26" s="847"/>
      <c r="Y26" s="1004"/>
      <c r="Z26" s="850"/>
      <c r="AA26" s="853"/>
      <c r="AB26" s="850"/>
      <c r="AC26" s="850"/>
      <c r="AD26" s="850"/>
    </row>
    <row customHeight="1" ht="18">
      <c r="A27" s="849"/>
      <c r="B27" s="903">
        <v>10</v>
      </c>
      <c r="C27" s="847" t="s">
        <v>839</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909</v>
      </c>
      <c r="P27" s="961" t="s">
        <v>903</v>
      </c>
      <c r="Q27" s="961" t="s">
        <v>2387</v>
      </c>
      <c r="R27" s="961" t="s">
        <v>903</v>
      </c>
      <c r="S27" s="961"/>
      <c r="T27" s="968" t="s">
        <v>2388</v>
      </c>
      <c r="U27" s="968" t="s">
        <v>2388</v>
      </c>
      <c r="V27" s="968" t="s">
        <v>2388</v>
      </c>
      <c r="W27" s="968" t="s">
        <v>2388</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911</v>
      </c>
      <c r="P28" s="961"/>
      <c r="Q28" s="961"/>
      <c r="R28" s="961"/>
      <c r="S28" s="961"/>
      <c r="T28" s="968" t="s">
        <v>2389</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918</v>
      </c>
      <c r="P29" s="961" t="s">
        <v>448</v>
      </c>
      <c r="Q29" s="961"/>
      <c r="R29" s="961" t="s">
        <v>448</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2390</v>
      </c>
      <c r="V29" s="850"/>
      <c r="W29" s="850" t="s">
        <v>2390</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920</v>
      </c>
      <c r="P30" s="961" t="s">
        <v>911</v>
      </c>
      <c r="Q30" s="961" t="s">
        <v>920</v>
      </c>
      <c r="R30" s="961" t="s">
        <v>911</v>
      </c>
      <c r="S30" s="961"/>
      <c r="T30" s="968" t="s">
        <v>2391</v>
      </c>
      <c r="U30" s="850" t="s">
        <v>2391</v>
      </c>
      <c r="V30" s="850" t="s">
        <v>2391</v>
      </c>
      <c r="W30" s="850" t="s">
        <v>2391</v>
      </c>
      <c r="X30" s="847"/>
      <c r="Y30" s="1004"/>
      <c r="Z30" s="850"/>
      <c r="AA30" s="853" t="s">
        <v>2392</v>
      </c>
      <c r="AB30" s="853" t="s">
        <v>2392</v>
      </c>
      <c r="AC30" s="853" t="s">
        <v>2392</v>
      </c>
      <c r="AD30" s="850"/>
    </row>
    <row customHeight="1" ht="18">
      <c r="A31" s="849"/>
      <c r="B31" s="903">
        <v>14</v>
      </c>
      <c r="C31" s="847" t="s">
        <v>2393</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2394</v>
      </c>
      <c r="P31" s="961" t="s">
        <v>914</v>
      </c>
      <c r="Q31" s="961" t="s">
        <v>2394</v>
      </c>
      <c r="R31" s="961" t="s">
        <v>914</v>
      </c>
      <c r="S31" s="961"/>
      <c r="T31" s="969" t="s">
        <v>2395</v>
      </c>
      <c r="U31" s="850" t="s">
        <v>2395</v>
      </c>
      <c r="V31" s="850" t="s">
        <v>2395</v>
      </c>
      <c r="W31" s="850" t="s">
        <v>2395</v>
      </c>
      <c r="X31" s="847"/>
      <c r="Y31" s="1004"/>
      <c r="Z31" s="850"/>
      <c r="AA31" s="853"/>
      <c r="AB31" s="853"/>
      <c r="AC31" s="853"/>
      <c r="AD31" s="850"/>
    </row>
    <row customHeight="1" ht="36">
      <c r="A32" s="849"/>
      <c r="B32" s="903">
        <v>15</v>
      </c>
      <c r="C32" s="847" t="s">
        <v>2396</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2397</v>
      </c>
      <c r="P32" s="961" t="s">
        <v>916</v>
      </c>
      <c r="Q32" s="961" t="s">
        <v>2397</v>
      </c>
      <c r="R32" s="961" t="s">
        <v>916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2398</v>
      </c>
      <c r="V32" s="850" t="s">
        <v>2398</v>
      </c>
      <c r="W32" s="850" t="s">
        <v>2398</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922</v>
      </c>
      <c r="P33" s="961" t="s">
        <v>918</v>
      </c>
      <c r="Q33" s="961" t="s">
        <v>922</v>
      </c>
      <c r="R33" s="961" t="s">
        <v>918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2399</v>
      </c>
      <c r="V33" s="850" t="s">
        <v>2399</v>
      </c>
      <c r="W33" s="850" t="s">
        <v>2400</v>
      </c>
      <c r="X33" s="847"/>
      <c r="Y33" s="1004"/>
      <c r="Z33" s="850"/>
      <c r="AA33" s="853" t="s">
        <v>2401</v>
      </c>
      <c r="AB33" s="853" t="s">
        <v>2401</v>
      </c>
      <c r="AC33" s="853" t="s">
        <v>2401</v>
      </c>
      <c r="AD33" s="850"/>
    </row>
    <row customHeight="1" ht="27">
      <c r="A34" s="849"/>
      <c r="B34" s="903">
        <v>17</v>
      </c>
      <c r="C34" s="847" t="s">
        <v>2402</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2403</v>
      </c>
      <c r="P34" s="961" t="s">
        <v>2385</v>
      </c>
      <c r="Q34" s="961" t="s">
        <v>2403</v>
      </c>
      <c r="R34" s="961" t="s">
        <v>2385</v>
      </c>
      <c r="S34" s="961"/>
      <c r="T34" s="970" t="s">
        <v>2404</v>
      </c>
      <c r="U34" s="850" t="s">
        <v>2404</v>
      </c>
      <c r="V34" s="850" t="s">
        <v>2404</v>
      </c>
      <c r="W34" s="850" t="s">
        <v>2405</v>
      </c>
      <c r="X34" s="847"/>
      <c r="Y34" s="1004"/>
      <c r="Z34" s="850"/>
      <c r="AA34" s="853"/>
      <c r="AB34" s="850"/>
      <c r="AC34" s="850"/>
      <c r="AD34" s="850"/>
    </row>
    <row customHeight="1" ht="45">
      <c r="A35" s="849"/>
      <c r="B35" s="903">
        <v>18</v>
      </c>
      <c r="C35" s="847" t="s">
        <v>2406</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2407</v>
      </c>
      <c r="P35" s="961" t="s">
        <v>2387</v>
      </c>
      <c r="Q35" s="961" t="s">
        <v>2407</v>
      </c>
      <c r="R35" s="961" t="s">
        <v>2387</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2408</v>
      </c>
      <c r="V35" s="850" t="s">
        <v>2408</v>
      </c>
      <c r="W35" s="850" t="s">
        <v>2408</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924</v>
      </c>
      <c r="P36" s="961" t="s">
        <v>920</v>
      </c>
      <c r="Q36" s="961" t="s">
        <v>924</v>
      </c>
      <c r="R36" s="961" t="s">
        <v>920</v>
      </c>
      <c r="S36" s="961"/>
      <c r="T36" s="968" t="s">
        <v>2409</v>
      </c>
      <c r="U36" s="850" t="s">
        <v>2409</v>
      </c>
      <c r="V36" s="850" t="s">
        <v>2409</v>
      </c>
      <c r="W36" s="850" t="s">
        <v>2409</v>
      </c>
      <c r="X36" s="847"/>
      <c r="Y36" s="1004"/>
      <c r="Z36" s="850"/>
      <c r="AA36" s="853"/>
      <c r="AB36" s="850"/>
      <c r="AC36" s="850"/>
      <c r="AD36" s="850"/>
    </row>
    <row customHeight="1" ht="18">
      <c r="A37" s="849"/>
      <c r="B37" s="903">
        <v>20</v>
      </c>
      <c r="C37" s="847" t="s">
        <v>2410</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2411</v>
      </c>
      <c r="P37" s="961" t="s">
        <v>2394</v>
      </c>
      <c r="Q37" s="961" t="s">
        <v>2411</v>
      </c>
      <c r="R37" s="961" t="s">
        <v>2394</v>
      </c>
      <c r="S37" s="961"/>
      <c r="T37" s="968" t="s">
        <v>2412</v>
      </c>
      <c r="U37" s="850" t="s">
        <v>2412</v>
      </c>
      <c r="V37" s="850" t="s">
        <v>2412</v>
      </c>
      <c r="W37" s="850" t="s">
        <v>2412</v>
      </c>
      <c r="X37" s="847"/>
      <c r="Y37" s="1004"/>
      <c r="Z37" s="850"/>
      <c r="AA37" s="853"/>
      <c r="AB37" s="850"/>
      <c r="AC37" s="850"/>
      <c r="AD37" s="850"/>
    </row>
    <row customHeight="1" ht="18">
      <c r="A38" s="849"/>
      <c r="B38" s="903">
        <v>21</v>
      </c>
      <c r="C38" s="847" t="s">
        <v>2413</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2414</v>
      </c>
      <c r="P38" s="961" t="s">
        <v>2397</v>
      </c>
      <c r="Q38" s="961" t="s">
        <v>2414</v>
      </c>
      <c r="R38" s="961" t="s">
        <v>2397</v>
      </c>
      <c r="S38" s="961"/>
      <c r="T38" s="968" t="s">
        <v>2415</v>
      </c>
      <c r="U38" s="850" t="s">
        <v>2415</v>
      </c>
      <c r="V38" s="850" t="s">
        <v>2415</v>
      </c>
      <c r="W38" s="850" t="s">
        <v>2415</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928</v>
      </c>
      <c r="P39" s="961" t="s">
        <v>922</v>
      </c>
      <c r="Q39" s="961" t="s">
        <v>928</v>
      </c>
      <c r="R39" s="961" t="s">
        <v>922</v>
      </c>
      <c r="S39" s="961"/>
      <c r="T39" s="968" t="s">
        <v>2416</v>
      </c>
      <c r="U39" s="850" t="s">
        <v>2417</v>
      </c>
      <c r="V39" s="850" t="s">
        <v>2418</v>
      </c>
      <c r="W39" s="850" t="s">
        <v>2419</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980</v>
      </c>
      <c r="P40" s="961" t="s">
        <v>924</v>
      </c>
      <c r="Q40" s="961" t="s">
        <v>980</v>
      </c>
      <c r="R40" s="961" t="s">
        <v>924</v>
      </c>
      <c r="S40" s="961"/>
      <c r="T40" s="847" t="s">
        <v>2420</v>
      </c>
      <c r="U40" s="847" t="s">
        <v>2420</v>
      </c>
      <c r="V40" s="847" t="s">
        <v>2420</v>
      </c>
      <c r="W40" s="847" t="s">
        <v>2420</v>
      </c>
      <c r="X40" s="847"/>
      <c r="Y40" s="1004"/>
      <c r="Z40" s="850" t="s">
        <v>2421</v>
      </c>
      <c r="AA40" s="853" t="s">
        <v>2421</v>
      </c>
      <c r="AB40" s="853" t="s">
        <v>2421</v>
      </c>
      <c r="AC40" s="853" t="s">
        <v>2421</v>
      </c>
      <c r="AD40" s="850"/>
    </row>
    <row customHeight="1" ht="27">
      <c r="A41" s="849"/>
      <c r="B41" s="903">
        <v>24</v>
      </c>
      <c r="C41" s="847" t="s">
        <v>2422</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2423</v>
      </c>
      <c r="P41" s="961" t="s">
        <v>2411</v>
      </c>
      <c r="Q41" s="961" t="s">
        <v>2423</v>
      </c>
      <c r="R41" s="961" t="s">
        <v>2411</v>
      </c>
      <c r="S41" s="961"/>
      <c r="T41" s="847" t="s">
        <v>2424</v>
      </c>
      <c r="U41" s="847" t="s">
        <v>2424</v>
      </c>
      <c r="V41" s="847" t="s">
        <v>2424</v>
      </c>
      <c r="W41" s="847" t="s">
        <v>2424</v>
      </c>
      <c r="X41" s="847"/>
      <c r="Y41" s="1004"/>
      <c r="Z41" s="850" t="s">
        <v>2425</v>
      </c>
      <c r="AA41" s="850" t="s">
        <v>2425</v>
      </c>
      <c r="AB41" s="850" t="s">
        <v>2425</v>
      </c>
      <c r="AC41" s="850" t="s">
        <v>2425</v>
      </c>
      <c r="AD41" s="850"/>
    </row>
    <row customHeight="1" ht="27">
      <c r="A42" s="849"/>
      <c r="B42" s="903">
        <v>25</v>
      </c>
      <c r="C42" s="847" t="s">
        <v>2426</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2427</v>
      </c>
      <c r="P42" s="961" t="s">
        <v>2414</v>
      </c>
      <c r="Q42" s="961" t="s">
        <v>2427</v>
      </c>
      <c r="R42" s="961" t="s">
        <v>2414</v>
      </c>
      <c r="S42" s="961"/>
      <c r="T42" s="847" t="s">
        <v>2428</v>
      </c>
      <c r="U42" s="847" t="s">
        <v>2428</v>
      </c>
      <c r="V42" s="847" t="s">
        <v>2428</v>
      </c>
      <c r="W42" s="847" t="s">
        <v>2428</v>
      </c>
      <c r="X42" s="847"/>
      <c r="Y42" s="1004"/>
      <c r="Z42" s="850" t="s">
        <v>2429</v>
      </c>
      <c r="AA42" s="850" t="s">
        <v>2429</v>
      </c>
      <c r="AB42" s="850" t="s">
        <v>2429</v>
      </c>
      <c r="AC42" s="850" t="s">
        <v>2429</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2430</v>
      </c>
      <c r="P43" s="961" t="s">
        <v>928</v>
      </c>
      <c r="Q43" s="961" t="s">
        <v>2430</v>
      </c>
      <c r="R43" s="961" t="s">
        <v>928</v>
      </c>
      <c r="S43" s="961"/>
      <c r="T43" s="847" t="s">
        <v>2431</v>
      </c>
      <c r="U43" s="847" t="s">
        <v>2431</v>
      </c>
      <c r="V43" s="847" t="s">
        <v>2431</v>
      </c>
      <c r="W43" s="847" t="s">
        <v>2431</v>
      </c>
      <c r="X43" s="847"/>
      <c r="Y43" s="1004"/>
      <c r="Z43" s="850" t="s">
        <v>2432</v>
      </c>
      <c r="AA43" s="850" t="s">
        <v>2432</v>
      </c>
      <c r="AB43" s="850" t="s">
        <v>2432</v>
      </c>
      <c r="AC43" s="850" t="s">
        <v>2432</v>
      </c>
      <c r="AD43" s="850"/>
    </row>
    <row customHeight="1" ht="27">
      <c r="A44" s="849"/>
      <c r="B44" s="903">
        <v>27</v>
      </c>
      <c r="C44" s="847" t="s">
        <v>2433</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2434</v>
      </c>
      <c r="P44" s="961" t="s">
        <v>931</v>
      </c>
      <c r="Q44" s="961" t="s">
        <v>2434</v>
      </c>
      <c r="R44" s="961" t="s">
        <v>931</v>
      </c>
      <c r="S44" s="961"/>
      <c r="T44" s="847" t="s">
        <v>2424</v>
      </c>
      <c r="U44" s="847" t="s">
        <v>2424</v>
      </c>
      <c r="V44" s="847" t="s">
        <v>2424</v>
      </c>
      <c r="W44" s="847" t="s">
        <v>2424</v>
      </c>
      <c r="X44" s="847"/>
      <c r="Y44" s="1004"/>
      <c r="Z44" s="850" t="s">
        <v>2435</v>
      </c>
      <c r="AA44" s="850" t="s">
        <v>2435</v>
      </c>
      <c r="AB44" s="850" t="s">
        <v>2435</v>
      </c>
      <c r="AC44" s="850" t="s">
        <v>2435</v>
      </c>
      <c r="AD44" s="850"/>
    </row>
    <row customHeight="1" ht="27">
      <c r="A45" s="849"/>
      <c r="B45" s="903">
        <v>28</v>
      </c>
      <c r="C45" s="847" t="s">
        <v>2436</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2437</v>
      </c>
      <c r="P45" s="961" t="s">
        <v>934</v>
      </c>
      <c r="Q45" s="961" t="s">
        <v>2437</v>
      </c>
      <c r="R45" s="961" t="s">
        <v>934</v>
      </c>
      <c r="S45" s="961"/>
      <c r="T45" s="847" t="s">
        <v>2428</v>
      </c>
      <c r="U45" s="847" t="s">
        <v>2428</v>
      </c>
      <c r="V45" s="847" t="s">
        <v>2428</v>
      </c>
      <c r="W45" s="847" t="s">
        <v>2428</v>
      </c>
      <c r="X45" s="847"/>
      <c r="Y45" s="1004"/>
      <c r="Z45" s="850" t="s">
        <v>2438</v>
      </c>
      <c r="AA45" s="850" t="s">
        <v>2438</v>
      </c>
      <c r="AB45" s="850" t="s">
        <v>2438</v>
      </c>
      <c r="AC45" s="850" t="s">
        <v>2438</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2439</v>
      </c>
      <c r="P46" s="961" t="s">
        <v>980</v>
      </c>
      <c r="Q46" s="961" t="s">
        <v>2439</v>
      </c>
      <c r="R46" s="961" t="s">
        <v>980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2440</v>
      </c>
      <c r="V46" s="847" t="s">
        <v>2440</v>
      </c>
      <c r="W46" s="847" t="s">
        <v>2440</v>
      </c>
      <c r="X46" s="847"/>
      <c r="Y46" s="1004"/>
      <c r="Z46" s="850" t="s">
        <v>2441</v>
      </c>
      <c r="AA46" s="850" t="s">
        <v>2442</v>
      </c>
      <c r="AB46" s="850" t="s">
        <v>2442</v>
      </c>
      <c r="AC46" s="850" t="s">
        <v>2442</v>
      </c>
      <c r="AD46" s="850"/>
    </row>
    <row customHeight="1" ht="54">
      <c r="A47" s="849"/>
      <c r="B47" s="903">
        <v>30</v>
      </c>
      <c r="C47" s="847" t="s">
        <v>2443</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2444</v>
      </c>
      <c r="P47" s="961" t="s">
        <v>2423</v>
      </c>
      <c r="Q47" s="961" t="s">
        <v>2444</v>
      </c>
      <c r="R47" s="961" t="s">
        <v>2423</v>
      </c>
      <c r="S47" s="961"/>
      <c r="T47" s="847" t="s">
        <v>2445</v>
      </c>
      <c r="U47" s="847" t="s">
        <v>2445</v>
      </c>
      <c r="V47" s="847" t="s">
        <v>2445</v>
      </c>
      <c r="W47" s="847" t="s">
        <v>2445</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2430</v>
      </c>
      <c r="Q48" s="961" t="s">
        <v>2446</v>
      </c>
      <c r="R48" s="961" t="s">
        <v>2430</v>
      </c>
      <c r="S48" s="961"/>
      <c r="T48" s="847"/>
      <c r="U48" s="847" t="s">
        <v>2447</v>
      </c>
      <c r="V48" s="847" t="s">
        <v>2448</v>
      </c>
      <c r="W48" s="847" t="s">
        <v>2448</v>
      </c>
      <c r="X48" s="847"/>
      <c r="Y48" s="1004"/>
      <c r="Z48" s="850"/>
      <c r="AA48" s="853" t="s">
        <v>2442</v>
      </c>
      <c r="AB48" s="853" t="s">
        <v>2442</v>
      </c>
      <c r="AC48" s="853" t="s">
        <v>2442</v>
      </c>
      <c r="AD48" s="850"/>
    </row>
    <row customHeight="1" ht="54">
      <c r="A49" s="849"/>
      <c r="B49" s="903">
        <v>32</v>
      </c>
      <c r="C49" s="847" t="s">
        <v>2449</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2434</v>
      </c>
      <c r="Q49" s="961" t="s">
        <v>2450</v>
      </c>
      <c r="R49" s="961" t="s">
        <v>2434</v>
      </c>
      <c r="S49" s="961"/>
      <c r="T49" s="847"/>
      <c r="U49" s="847" t="s">
        <v>2445</v>
      </c>
      <c r="V49" s="847" t="s">
        <v>2445</v>
      </c>
      <c r="W49" s="847" t="s">
        <v>2445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2446</v>
      </c>
      <c r="P50" s="961" t="s">
        <v>2439</v>
      </c>
      <c r="Q50" s="961" t="s">
        <v>2451</v>
      </c>
      <c r="R50" s="961" t="s">
        <v>2439</v>
      </c>
      <c r="S50" s="961"/>
      <c r="T50" s="847" t="s">
        <v>2452</v>
      </c>
      <c r="U50" s="847" t="s">
        <v>2453</v>
      </c>
      <c r="V50" s="847" t="s">
        <v>2454</v>
      </c>
      <c r="W50" s="847" t="s">
        <v>2455</v>
      </c>
      <c r="X50" s="847"/>
      <c r="Y50" s="1004"/>
      <c r="Z50" s="850" t="s">
        <v>2456</v>
      </c>
      <c r="AA50" s="853" t="s">
        <v>2457</v>
      </c>
      <c r="AB50" s="853" t="s">
        <v>2457</v>
      </c>
      <c r="AC50" s="853" t="s">
        <v>2457</v>
      </c>
      <c r="AD50" s="850"/>
    </row>
    <row customHeight="1" ht="27">
      <c r="A51" s="849"/>
      <c r="B51" s="903">
        <v>34</v>
      </c>
      <c r="C51" s="847" t="s">
        <v>2458</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2459</v>
      </c>
      <c r="U51" s="847"/>
      <c r="V51" s="847"/>
      <c r="W51" s="847"/>
      <c r="X51" s="847"/>
      <c r="Y51" s="1004"/>
      <c r="Z51" s="850"/>
      <c r="AA51" s="853"/>
      <c r="AB51" s="853"/>
      <c r="AC51" s="853"/>
      <c r="AD51" s="850"/>
    </row>
    <row customHeight="1" ht="36">
      <c r="A52" s="849"/>
      <c r="B52" s="903">
        <v>35</v>
      </c>
      <c r="C52" s="847" t="s">
        <v>2355</v>
      </c>
      <c r="D52" s="971" t="s">
        <v>2355</v>
      </c>
      <c r="E52" s="847" t="s">
        <v>2355</v>
      </c>
      <c r="F52" s="847" t="s">
        <v>2355</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2460</v>
      </c>
      <c r="U52" s="847" t="s">
        <v>2461</v>
      </c>
      <c r="V52" s="847" t="s">
        <v>2462</v>
      </c>
      <c r="W52" s="847" t="s">
        <v>2463</v>
      </c>
      <c r="X52" s="847"/>
      <c r="Y52" s="1004"/>
      <c r="Z52" s="850" t="s">
        <v>938</v>
      </c>
      <c r="AA52" s="853" t="s">
        <v>938</v>
      </c>
      <c r="AB52" s="853" t="s">
        <v>938</v>
      </c>
      <c r="AC52" s="853" t="s">
        <v>938</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942</v>
      </c>
      <c r="P53" s="961" t="s">
        <v>462</v>
      </c>
      <c r="Q53" s="961" t="s">
        <v>462</v>
      </c>
      <c r="R53" s="961" t="s">
        <v>462</v>
      </c>
      <c r="S53" s="961"/>
      <c r="T53" s="847" t="s">
        <v>2464</v>
      </c>
      <c r="U53" s="847" t="s">
        <v>2464</v>
      </c>
      <c r="V53" s="847" t="s">
        <v>2464</v>
      </c>
      <c r="W53" s="847" t="s">
        <v>2464</v>
      </c>
      <c r="X53" s="847"/>
      <c r="Y53" s="1004"/>
      <c r="Z53" s="850"/>
      <c r="AA53" s="853"/>
      <c r="AB53" s="850"/>
      <c r="AC53" s="850"/>
      <c r="AD53" s="850"/>
    </row>
    <row customHeight="1" ht="18">
      <c r="A54" s="849"/>
      <c r="B54" s="903">
        <v>37</v>
      </c>
      <c r="C54" s="847" t="s">
        <v>2361</v>
      </c>
      <c r="D54" s="971" t="s">
        <v>2361</v>
      </c>
      <c r="E54" s="847" t="s">
        <v>2361</v>
      </c>
      <c r="F54" s="847" t="s">
        <v>2361</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120</v>
      </c>
      <c r="P54" s="961" t="s">
        <v>90</v>
      </c>
      <c r="Q54" s="961" t="s">
        <v>90</v>
      </c>
      <c r="R54" s="961" t="s">
        <v>90</v>
      </c>
      <c r="S54" s="961"/>
      <c r="T54" s="847" t="s">
        <v>940</v>
      </c>
      <c r="U54" s="847" t="s">
        <v>940</v>
      </c>
      <c r="V54" s="847" t="s">
        <v>940</v>
      </c>
      <c r="W54" s="847" t="s">
        <v>940</v>
      </c>
      <c r="X54" s="847"/>
      <c r="Y54" s="1004"/>
      <c r="Z54" s="850" t="s">
        <v>941</v>
      </c>
      <c r="AA54" s="850" t="s">
        <v>941</v>
      </c>
      <c r="AB54" s="850" t="s">
        <v>941</v>
      </c>
      <c r="AC54" s="850" t="s">
        <v>941</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451</v>
      </c>
      <c r="P55" s="961" t="s">
        <v>942</v>
      </c>
      <c r="Q55" s="961" t="s">
        <v>942</v>
      </c>
      <c r="R55" s="961" t="s">
        <v>942</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2465</v>
      </c>
      <c r="V55" s="847" t="s">
        <v>2465</v>
      </c>
      <c r="W55" s="847" t="s">
        <v>2465</v>
      </c>
      <c r="X55" s="847"/>
      <c r="Y55" s="1004"/>
      <c r="Z55" s="850" t="s">
        <v>2466</v>
      </c>
      <c r="AA55" s="850" t="s">
        <v>2466</v>
      </c>
      <c r="AB55" s="850" t="s">
        <v>2466</v>
      </c>
      <c r="AC55" s="850" t="s">
        <v>2466</v>
      </c>
      <c r="AD55" s="850"/>
    </row>
    <row customHeight="1" ht="27">
      <c r="A56" s="849"/>
      <c r="B56" s="903">
        <v>39</v>
      </c>
      <c r="C56" s="847" t="s">
        <v>1352</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1475</v>
      </c>
      <c r="P56" s="961" t="s">
        <v>945</v>
      </c>
      <c r="Q56" s="961" t="s">
        <v>945</v>
      </c>
      <c r="R56" s="961" t="s">
        <v>945</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2467</v>
      </c>
      <c r="V56" s="847" t="s">
        <v>2467</v>
      </c>
      <c r="W56" s="847" t="s">
        <v>2467</v>
      </c>
      <c r="X56" s="847"/>
      <c r="Y56" s="1004"/>
      <c r="Z56" s="850" t="s">
        <v>947</v>
      </c>
      <c r="AA56" s="850" t="s">
        <v>947</v>
      </c>
      <c r="AB56" s="850" t="s">
        <v>947</v>
      </c>
      <c r="AC56" s="850" t="s">
        <v>947</v>
      </c>
      <c r="AD56" s="850"/>
    </row>
    <row customHeight="1" ht="27">
      <c r="A57" s="849"/>
      <c r="B57" s="903">
        <v>40</v>
      </c>
      <c r="C57" s="847" t="s">
        <v>1354</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2468</v>
      </c>
      <c r="P57" s="961" t="s">
        <v>948</v>
      </c>
      <c r="Q57" s="961" t="s">
        <v>948</v>
      </c>
      <c r="R57" s="961" t="s">
        <v>948</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2469</v>
      </c>
      <c r="V57" s="847" t="s">
        <v>2469</v>
      </c>
      <c r="W57" s="847" t="s">
        <v>2469</v>
      </c>
      <c r="X57" s="847"/>
      <c r="Y57" s="1004"/>
      <c r="Z57" s="850" t="s">
        <v>950</v>
      </c>
      <c r="AA57" s="850" t="s">
        <v>950</v>
      </c>
      <c r="AB57" s="850" t="s">
        <v>950</v>
      </c>
      <c r="AC57" s="850" t="s">
        <v>950</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1082</v>
      </c>
      <c r="P58" s="961" t="s">
        <v>986</v>
      </c>
      <c r="Q58" s="961" t="s">
        <v>986</v>
      </c>
      <c r="R58" s="961" t="s">
        <v>986</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2470</v>
      </c>
      <c r="V58" s="847" t="s">
        <v>2470</v>
      </c>
      <c r="W58" s="847" t="s">
        <v>2470</v>
      </c>
      <c r="X58" s="847"/>
      <c r="Y58" s="1004"/>
      <c r="Z58" s="850"/>
      <c r="AA58" s="853"/>
      <c r="AB58" s="850"/>
      <c r="AC58" s="850"/>
      <c r="AD58" s="850"/>
    </row>
    <row customHeight="1" ht="36">
      <c r="A59" s="849"/>
      <c r="B59" s="903">
        <v>42</v>
      </c>
      <c r="C59" s="847">
        <v>3</v>
      </c>
      <c r="D59" s="971" t="s">
        <v>2458</v>
      </c>
      <c r="E59" s="847" t="s">
        <v>2458</v>
      </c>
      <c r="F59" s="847" t="s">
        <v>2458</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120</v>
      </c>
      <c r="Q59" s="961" t="s">
        <v>120</v>
      </c>
      <c r="R59" s="961" t="s">
        <v>120</v>
      </c>
      <c r="S59" s="961"/>
      <c r="T59" s="847"/>
      <c r="U59" s="847" t="s">
        <v>2471</v>
      </c>
      <c r="V59" s="847" t="s">
        <v>2472</v>
      </c>
      <c r="W59" s="847" t="s">
        <v>2473</v>
      </c>
      <c r="X59" s="847"/>
      <c r="Y59" s="1004"/>
      <c r="Z59" s="850"/>
      <c r="AA59" s="853"/>
      <c r="AB59" s="850"/>
      <c r="AC59" s="850"/>
      <c r="AD59" s="850"/>
    </row>
    <row customHeight="1" ht="81">
      <c r="A60" s="849"/>
      <c r="B60" s="903">
        <v>43</v>
      </c>
      <c r="C60" s="847" t="s">
        <v>2474</v>
      </c>
      <c r="D60" s="971" t="s">
        <v>2474</v>
      </c>
      <c r="E60" s="847" t="s">
        <v>2474</v>
      </c>
      <c r="F60" s="847" t="s">
        <v>2474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812</v>
      </c>
      <c r="U60" s="847" t="s">
        <v>812</v>
      </c>
      <c r="V60" s="847" t="s">
        <v>812</v>
      </c>
      <c r="W60" s="847" t="s">
        <v>812</v>
      </c>
      <c r="X60" s="847"/>
      <c r="Y60" s="1004"/>
      <c r="Z60" s="850" t="s">
        <v>2475</v>
      </c>
      <c r="AA60" s="853" t="s">
        <v>2476</v>
      </c>
      <c r="AB60" s="850" t="s">
        <v>2477</v>
      </c>
      <c r="AC60" s="850" t="s">
        <v>2476</v>
      </c>
      <c r="AD60" s="850"/>
    </row>
    <row customHeight="1" ht="9">
      <c r="A61" s="849"/>
      <c r="B61" s="903">
        <v>44</v>
      </c>
      <c r="C61" s="847"/>
      <c r="D61" s="971" t="s">
        <v>2478</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2479</v>
      </c>
      <c r="V61" s="847"/>
      <c r="W61" s="847"/>
      <c r="X61" s="847"/>
      <c r="Y61" s="1004"/>
      <c r="Z61" s="850"/>
      <c r="AA61" s="853"/>
      <c r="AB61" s="850"/>
      <c r="AC61" s="850"/>
      <c r="AD61" s="850"/>
    </row>
    <row customHeight="1" ht="9">
      <c r="A62" s="849"/>
      <c r="B62" s="903">
        <v>45</v>
      </c>
      <c r="C62" s="847"/>
      <c r="D62" s="971" t="s">
        <v>2480</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133</v>
      </c>
      <c r="Q62" s="961"/>
      <c r="R62" s="961"/>
      <c r="S62" s="961"/>
      <c r="T62" s="847"/>
      <c r="U62" s="847" t="s">
        <v>2481</v>
      </c>
      <c r="V62" s="847"/>
      <c r="W62" s="847"/>
      <c r="X62" s="847"/>
      <c r="Y62" s="1004"/>
      <c r="Z62" s="850"/>
      <c r="AA62" s="853"/>
      <c r="AB62" s="850"/>
      <c r="AC62" s="850"/>
      <c r="AD62" s="850"/>
    </row>
    <row customHeight="1" ht="18">
      <c r="A63" s="849"/>
      <c r="B63" s="903">
        <v>46</v>
      </c>
      <c r="C63" s="847"/>
      <c r="D63" s="971" t="s">
        <v>2482</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148</v>
      </c>
      <c r="Q63" s="961"/>
      <c r="R63" s="961"/>
      <c r="S63" s="961"/>
      <c r="T63" s="847"/>
      <c r="U63" s="847" t="s">
        <v>2483</v>
      </c>
      <c r="V63" s="847"/>
      <c r="W63" s="847"/>
      <c r="X63" s="847"/>
      <c r="Y63" s="1004"/>
      <c r="Z63" s="850"/>
      <c r="AA63" s="853"/>
      <c r="AB63" s="850"/>
      <c r="AC63" s="850"/>
      <c r="AD63" s="850"/>
    </row>
    <row customHeight="1" ht="18">
      <c r="A64" s="849"/>
      <c r="B64" s="903">
        <v>47</v>
      </c>
      <c r="C64" s="847"/>
      <c r="D64" s="971" t="s">
        <v>2484</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155</v>
      </c>
      <c r="Q64" s="961"/>
      <c r="R64" s="961"/>
      <c r="S64" s="961"/>
      <c r="T64" s="847"/>
      <c r="U64" s="847" t="s">
        <v>2485</v>
      </c>
      <c r="V64" s="847"/>
      <c r="W64" s="847"/>
      <c r="X64" s="847"/>
      <c r="Y64" s="1004"/>
      <c r="Z64" s="850"/>
      <c r="AA64" s="853" t="s">
        <v>2486</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2402</v>
      </c>
      <c r="Q65" s="961"/>
      <c r="R65" s="961"/>
      <c r="S65" s="961"/>
      <c r="T65" s="847"/>
      <c r="U65" s="847" t="s">
        <v>2487</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2406</v>
      </c>
      <c r="Q66" s="961"/>
      <c r="R66" s="961"/>
      <c r="S66" s="961"/>
      <c r="T66" s="847"/>
      <c r="U66" s="847" t="s">
        <v>2488</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2489</v>
      </c>
      <c r="Q67" s="961"/>
      <c r="R67" s="961"/>
      <c r="S67" s="961"/>
      <c r="T67" s="847"/>
      <c r="U67" s="847" t="s">
        <v>2490</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2491</v>
      </c>
      <c r="Q68" s="961"/>
      <c r="R68" s="961"/>
      <c r="S68" s="961"/>
      <c r="T68" s="847"/>
      <c r="U68" s="847" t="s">
        <v>2492</v>
      </c>
      <c r="V68" s="847"/>
      <c r="W68" s="847"/>
      <c r="X68" s="847"/>
      <c r="Y68" s="1004"/>
      <c r="Z68" s="850"/>
      <c r="AA68" s="853"/>
      <c r="AB68" s="850"/>
      <c r="AC68" s="850"/>
      <c r="AD68" s="850"/>
    </row>
    <row customHeight="1" ht="9">
      <c r="A69" s="849"/>
      <c r="B69" s="903">
        <v>52</v>
      </c>
      <c r="C69" s="847"/>
      <c r="D69" s="971" t="s">
        <v>2493</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161</v>
      </c>
      <c r="Q69" s="961"/>
      <c r="R69" s="961"/>
      <c r="S69" s="961"/>
      <c r="T69" s="847"/>
      <c r="U69" s="847" t="s">
        <v>2494</v>
      </c>
      <c r="V69" s="847"/>
      <c r="W69" s="847"/>
      <c r="X69" s="847"/>
      <c r="Y69" s="1004"/>
      <c r="Z69" s="850"/>
      <c r="AA69" s="853"/>
      <c r="AB69" s="850"/>
      <c r="AC69" s="850"/>
      <c r="AD69" s="850"/>
    </row>
    <row customHeight="1" ht="27">
      <c r="A70" s="849"/>
      <c r="B70" s="903">
        <v>53</v>
      </c>
      <c r="C70" s="847"/>
      <c r="D70" s="971"/>
      <c r="E70" s="847" t="s">
        <v>2478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2495</v>
      </c>
      <c r="W70" s="847"/>
      <c r="X70" s="847"/>
      <c r="Y70" s="1004"/>
      <c r="Z70" s="850"/>
      <c r="AA70" s="853"/>
      <c r="AB70" s="850"/>
      <c r="AC70" s="850"/>
      <c r="AD70" s="850"/>
    </row>
    <row customHeight="1" ht="36">
      <c r="A71" s="849"/>
      <c r="B71" s="903">
        <v>54</v>
      </c>
      <c r="C71" s="847"/>
      <c r="D71" s="971"/>
      <c r="E71" s="847" t="s">
        <v>2480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133</v>
      </c>
      <c r="R71" s="961"/>
      <c r="S71" s="961"/>
      <c r="T71" s="847"/>
      <c r="U71" s="847"/>
      <c r="V71" s="847" t="s">
        <v>2496</v>
      </c>
      <c r="W71" s="847"/>
      <c r="X71" s="847"/>
      <c r="Y71" s="1004"/>
      <c r="Z71" s="850"/>
      <c r="AA71" s="853"/>
      <c r="AB71" s="850"/>
      <c r="AC71" s="850"/>
      <c r="AD71" s="850"/>
    </row>
    <row customHeight="1" ht="27">
      <c r="A72" s="849"/>
      <c r="B72" s="903">
        <v>55</v>
      </c>
      <c r="C72" s="847"/>
      <c r="D72" s="971"/>
      <c r="E72" s="847" t="s">
        <v>2482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2497</v>
      </c>
      <c r="W72" s="847"/>
      <c r="X72" s="847"/>
      <c r="Y72" s="1004"/>
      <c r="Z72" s="850"/>
      <c r="AA72" s="853"/>
      <c r="AB72" s="850"/>
      <c r="AC72" s="850"/>
      <c r="AD72" s="850"/>
    </row>
    <row customHeight="1" ht="36">
      <c r="A73" s="849"/>
      <c r="B73" s="903">
        <v>56</v>
      </c>
      <c r="C73" s="847"/>
      <c r="D73" s="971"/>
      <c r="E73" s="847" t="s">
        <v>2484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155</v>
      </c>
      <c r="R73" s="961"/>
      <c r="S73" s="961"/>
      <c r="T73" s="847"/>
      <c r="U73" s="847"/>
      <c r="V73" s="847" t="s">
        <v>2498</v>
      </c>
      <c r="W73" s="847"/>
      <c r="X73" s="847"/>
      <c r="Y73" s="1004"/>
      <c r="Z73" s="850"/>
      <c r="AA73" s="853"/>
      <c r="AB73" s="850"/>
      <c r="AC73" s="850"/>
      <c r="AD73" s="850"/>
    </row>
    <row customHeight="1" ht="18">
      <c r="A74" s="849"/>
      <c r="B74" s="903">
        <v>57</v>
      </c>
      <c r="C74" s="847"/>
      <c r="D74" s="971"/>
      <c r="E74" s="847" t="s">
        <v>2493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161</v>
      </c>
      <c r="R74" s="961"/>
      <c r="S74" s="961"/>
      <c r="T74" s="847"/>
      <c r="U74" s="847"/>
      <c r="V74" s="847" t="s">
        <v>2499</v>
      </c>
      <c r="W74" s="847"/>
      <c r="X74" s="847"/>
      <c r="Y74" s="1004"/>
      <c r="Z74" s="850"/>
      <c r="AA74" s="853"/>
      <c r="AB74" s="850"/>
      <c r="AC74" s="850"/>
      <c r="AD74" s="850"/>
    </row>
    <row customHeight="1" ht="18">
      <c r="A75" s="849"/>
      <c r="B75" s="903">
        <v>58</v>
      </c>
      <c r="C75" s="847"/>
      <c r="D75" s="971"/>
      <c r="E75" s="847"/>
      <c r="F75" s="847" t="s">
        <v>2478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2500</v>
      </c>
      <c r="X75" s="847"/>
      <c r="Y75" s="1004"/>
      <c r="Z75" s="850"/>
      <c r="AA75" s="853"/>
      <c r="AB75" s="850"/>
      <c r="AC75" s="850"/>
      <c r="AD75" s="850"/>
    </row>
    <row customHeight="1" ht="36">
      <c r="A76" s="849"/>
      <c r="B76" s="903">
        <v>59</v>
      </c>
      <c r="C76" s="847"/>
      <c r="D76" s="971"/>
      <c r="E76" s="847"/>
      <c r="F76" s="847" t="s">
        <v>2480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133</v>
      </c>
      <c r="S76" s="961"/>
      <c r="T76" s="847"/>
      <c r="U76" s="847"/>
      <c r="V76" s="847"/>
      <c r="W76" s="847" t="s">
        <v>2501</v>
      </c>
      <c r="X76" s="847"/>
      <c r="Y76" s="1004"/>
      <c r="Z76" s="850"/>
      <c r="AA76" s="853"/>
      <c r="AB76" s="850"/>
      <c r="AC76" s="850"/>
      <c r="AD76" s="850"/>
    </row>
    <row customHeight="1" ht="18">
      <c r="A77" s="849"/>
      <c r="B77" s="903">
        <v>60</v>
      </c>
      <c r="C77" s="847"/>
      <c r="D77" s="971"/>
      <c r="E77" s="847"/>
      <c r="F77" s="847" t="s">
        <v>2482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2502</v>
      </c>
      <c r="X77" s="847"/>
      <c r="Y77" s="1004"/>
      <c r="Z77" s="850"/>
      <c r="AA77" s="853"/>
      <c r="AB77" s="850"/>
      <c r="AC77" s="850"/>
      <c r="AD77" s="850"/>
    </row>
    <row customHeight="1" ht="72">
      <c r="A78" s="849"/>
      <c r="B78" s="903">
        <v>61</v>
      </c>
      <c r="C78" s="847" t="s">
        <v>2478</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817</v>
      </c>
      <c r="U78" s="847"/>
      <c r="V78" s="847"/>
      <c r="W78" s="847"/>
      <c r="X78" s="847"/>
      <c r="Y78" s="1004"/>
      <c r="Z78" s="850" t="s">
        <v>2503</v>
      </c>
      <c r="AA78" s="853"/>
      <c r="AB78" s="850"/>
      <c r="AC78" s="850"/>
      <c r="AD78" s="850"/>
    </row>
    <row customHeight="1" ht="36">
      <c r="A79" s="849"/>
      <c r="B79" s="903">
        <v>62</v>
      </c>
      <c r="C79" s="847" t="s">
        <v>2480</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133</v>
      </c>
      <c r="P79" s="961"/>
      <c r="Q79" s="961"/>
      <c r="R79" s="961"/>
      <c r="S79" s="961"/>
      <c r="T79" s="847" t="s">
        <v>2504</v>
      </c>
      <c r="U79" s="847"/>
      <c r="V79" s="847"/>
      <c r="W79" s="847"/>
      <c r="X79" s="847"/>
      <c r="Y79" s="1004"/>
      <c r="Z79" s="850" t="s">
        <v>2505</v>
      </c>
      <c r="AA79" s="853"/>
      <c r="AB79" s="850"/>
      <c r="AC79" s="850"/>
      <c r="AD79" s="850"/>
    </row>
    <row customHeight="1" ht="45">
      <c r="A80" s="849"/>
      <c r="B80" s="903">
        <v>63</v>
      </c>
      <c r="C80" s="847" t="s">
        <v>2482</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148</v>
      </c>
      <c r="P80" s="961"/>
      <c r="Q80" s="961"/>
      <c r="R80" s="961"/>
      <c r="S80" s="961"/>
      <c r="T80" s="847" t="s">
        <v>2506</v>
      </c>
      <c r="U80" s="847"/>
      <c r="V80" s="847"/>
      <c r="W80" s="847"/>
      <c r="X80" s="847"/>
      <c r="Y80" s="1004"/>
      <c r="Z80" s="850" t="s">
        <v>2507</v>
      </c>
      <c r="AA80" s="853"/>
      <c r="AB80" s="850"/>
      <c r="AC80" s="850"/>
      <c r="AD80" s="850"/>
    </row>
    <row customHeight="1" ht="36">
      <c r="A81" s="849"/>
      <c r="B81" s="903">
        <v>64</v>
      </c>
      <c r="C81" s="847" t="s">
        <v>2484</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2393</v>
      </c>
      <c r="P81" s="961"/>
      <c r="Q81" s="961"/>
      <c r="R81" s="961"/>
      <c r="S81" s="961"/>
      <c r="T81" s="847" t="s">
        <v>2508</v>
      </c>
      <c r="U81" s="847"/>
      <c r="V81" s="847"/>
      <c r="W81" s="847"/>
      <c r="X81" s="847"/>
      <c r="Y81" s="1004"/>
      <c r="Z81" s="850" t="s">
        <v>2509</v>
      </c>
      <c r="AA81" s="853"/>
      <c r="AB81" s="850"/>
      <c r="AC81" s="850"/>
      <c r="AD81" s="850"/>
    </row>
    <row customHeight="1" ht="90">
      <c r="A82" s="849"/>
      <c r="B82" s="903">
        <v>65</v>
      </c>
      <c r="C82" s="847" t="s">
        <v>2493</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155</v>
      </c>
      <c r="P82" s="961"/>
      <c r="Q82" s="961"/>
      <c r="R82" s="961"/>
      <c r="S82" s="961"/>
      <c r="T82" s="847" t="s">
        <v>2510</v>
      </c>
      <c r="U82" s="847"/>
      <c r="V82" s="847"/>
      <c r="W82" s="847"/>
      <c r="X82" s="847"/>
      <c r="Y82" s="1004"/>
      <c r="Z82" s="850" t="s">
        <v>2511</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2402</v>
      </c>
      <c r="P83" s="961"/>
      <c r="Q83" s="961"/>
      <c r="R83" s="961"/>
      <c r="S83" s="961"/>
      <c r="T83" s="847" t="s">
        <v>2512</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2513</v>
      </c>
      <c r="P84" s="961"/>
      <c r="Q84" s="961"/>
      <c r="R84" s="961"/>
      <c r="S84" s="961"/>
      <c r="T84" s="847" t="s">
        <v>2514</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2406</v>
      </c>
      <c r="P85" s="961"/>
      <c r="Q85" s="961"/>
      <c r="R85" s="961"/>
      <c r="S85" s="961"/>
      <c r="T85" s="847" t="s">
        <v>2515</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2516</v>
      </c>
      <c r="P86" s="961"/>
      <c r="Q86" s="961"/>
      <c r="R86" s="961"/>
      <c r="S86" s="961"/>
      <c r="T86" s="847" t="s">
        <v>2517</v>
      </c>
      <c r="U86" s="847"/>
      <c r="V86" s="847"/>
      <c r="W86" s="847"/>
      <c r="X86" s="847"/>
      <c r="Y86" s="1004"/>
      <c r="Z86" s="850"/>
      <c r="AA86" s="853"/>
      <c r="AB86" s="850"/>
      <c r="AC86" s="850"/>
      <c r="AD86" s="850"/>
    </row>
    <row customHeight="1" ht="36">
      <c r="A87" s="849"/>
      <c r="B87" s="903">
        <v>70</v>
      </c>
      <c r="C87" s="847" t="s">
        <v>2518</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161</v>
      </c>
      <c r="P87" s="961"/>
      <c r="Q87" s="961"/>
      <c r="R87" s="961"/>
      <c r="S87" s="961"/>
      <c r="T87" s="847" t="s">
        <v>2519</v>
      </c>
      <c r="U87" s="847"/>
      <c r="V87" s="847"/>
      <c r="W87" s="847"/>
      <c r="X87" s="847"/>
      <c r="Y87" s="1004"/>
      <c r="Z87" s="850"/>
      <c r="AA87" s="853"/>
      <c r="AB87" s="850"/>
      <c r="AC87" s="850"/>
      <c r="AD87" s="850"/>
    </row>
    <row customHeight="1" ht="18">
      <c r="A88" s="849"/>
      <c r="B88" s="903">
        <v>71</v>
      </c>
      <c r="C88" s="847" t="s">
        <v>2520</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165</v>
      </c>
      <c r="P88" s="961"/>
      <c r="Q88" s="961"/>
      <c r="R88" s="961"/>
      <c r="S88" s="961"/>
      <c r="T88" s="847" t="s">
        <v>849</v>
      </c>
      <c r="U88" s="847"/>
      <c r="V88" s="847"/>
      <c r="W88" s="847"/>
      <c r="X88" s="847"/>
      <c r="Y88" s="1004"/>
      <c r="Z88" s="850"/>
      <c r="AA88" s="853"/>
      <c r="AB88" s="850"/>
      <c r="AC88" s="850"/>
      <c r="AD88" s="850"/>
    </row>
    <row customHeight="1" ht="18">
      <c r="A89" s="849"/>
      <c r="B89" s="903">
        <v>72</v>
      </c>
      <c r="C89" s="847" t="s">
        <v>2521</v>
      </c>
      <c r="D89" s="971" t="s">
        <v>2518</v>
      </c>
      <c r="E89" s="847" t="s">
        <v>2518</v>
      </c>
      <c r="F89" s="847" t="s">
        <v>2484</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292</v>
      </c>
      <c r="P89" s="961" t="s">
        <v>165</v>
      </c>
      <c r="Q89" s="961" t="s">
        <v>165</v>
      </c>
      <c r="R89" s="961" t="s">
        <v>155</v>
      </c>
      <c r="S89" s="961"/>
      <c r="T89" s="847" t="s">
        <v>857</v>
      </c>
      <c r="U89" s="847" t="s">
        <v>857</v>
      </c>
      <c r="V89" s="847" t="s">
        <v>857</v>
      </c>
      <c r="W89" s="847" t="s">
        <v>857</v>
      </c>
      <c r="X89" s="847"/>
      <c r="Y89" s="1004"/>
      <c r="Z89" s="850"/>
      <c r="AA89" s="853"/>
      <c r="AB89" s="850"/>
      <c r="AC89" s="850"/>
      <c r="AD89" s="850"/>
    </row>
    <row customHeight="1" ht="27">
      <c r="A90" s="849"/>
      <c r="B90" s="903">
        <v>73</v>
      </c>
      <c r="C90" s="847" t="s">
        <v>2522</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293</v>
      </c>
      <c r="P90" s="961"/>
      <c r="Q90" s="961"/>
      <c r="R90" s="961"/>
      <c r="S90" s="961"/>
      <c r="T90" s="847" t="s">
        <v>859</v>
      </c>
      <c r="U90" s="847"/>
      <c r="V90" s="847"/>
      <c r="W90" s="847"/>
      <c r="X90" s="847"/>
      <c r="Y90" s="1004"/>
      <c r="Z90" s="850"/>
      <c r="AA90" s="853"/>
      <c r="AB90" s="850"/>
      <c r="AC90" s="850"/>
      <c r="AD90" s="850"/>
    </row>
    <row customHeight="1" ht="18">
      <c r="A91" s="849"/>
      <c r="B91" s="903">
        <v>74</v>
      </c>
      <c r="C91" s="847"/>
      <c r="D91" s="971" t="s">
        <v>2520</v>
      </c>
      <c r="E91" s="847" t="s">
        <v>2520</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292</v>
      </c>
      <c r="Q91" s="961" t="s">
        <v>292</v>
      </c>
      <c r="R91" s="961"/>
      <c r="S91" s="961"/>
      <c r="T91" s="847"/>
      <c r="U91" s="847" t="s">
        <v>2523</v>
      </c>
      <c r="V91" s="847" t="s">
        <v>2523</v>
      </c>
      <c r="W91" s="847"/>
      <c r="X91" s="847"/>
      <c r="Y91" s="1004"/>
      <c r="Z91" s="850"/>
      <c r="AA91" s="853"/>
      <c r="AB91" s="850"/>
      <c r="AC91" s="850"/>
      <c r="AD91" s="850"/>
    </row>
    <row customHeight="1" ht="27">
      <c r="A92" s="849"/>
      <c r="B92" s="903">
        <v>75</v>
      </c>
      <c r="C92" s="847"/>
      <c r="D92" s="971" t="s">
        <v>2521</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293</v>
      </c>
      <c r="Q92" s="961"/>
      <c r="R92" s="961"/>
      <c r="S92" s="961"/>
      <c r="T92" s="847"/>
      <c r="U92" s="847" t="s">
        <v>2524</v>
      </c>
      <c r="V92" s="847"/>
      <c r="W92" s="847"/>
      <c r="X92" s="847"/>
      <c r="Y92" s="1004"/>
      <c r="Z92" s="850"/>
      <c r="AA92" s="853" t="s">
        <v>2525</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2433</v>
      </c>
      <c r="Q93" s="961"/>
      <c r="R93" s="961"/>
      <c r="S93" s="961"/>
      <c r="T93" s="847"/>
      <c r="U93" s="847" t="s">
        <v>2526</v>
      </c>
      <c r="V93" s="847"/>
      <c r="W93" s="847"/>
      <c r="X93" s="847"/>
      <c r="Y93" s="1004"/>
      <c r="Z93" s="850"/>
      <c r="AA93" s="853" t="s">
        <v>2527</v>
      </c>
      <c r="AB93" s="850"/>
      <c r="AC93" s="850"/>
      <c r="AD93" s="850"/>
    </row>
    <row customHeight="1" ht="45">
      <c r="A94" s="849"/>
      <c r="B94" s="903">
        <v>77</v>
      </c>
      <c r="C94" s="847"/>
      <c r="D94" s="971" t="s">
        <v>2522</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1794</v>
      </c>
      <c r="Q94" s="961"/>
      <c r="R94" s="961"/>
      <c r="S94" s="961"/>
      <c r="T94" s="847"/>
      <c r="U94" s="847" t="s">
        <v>2528</v>
      </c>
      <c r="V94" s="847"/>
      <c r="W94" s="847"/>
      <c r="X94" s="847"/>
      <c r="Y94" s="1004"/>
      <c r="Z94" s="850"/>
      <c r="AA94" s="853" t="s">
        <v>2529</v>
      </c>
      <c r="AB94" s="850"/>
      <c r="AC94" s="850"/>
      <c r="AD94" s="850"/>
    </row>
    <row customHeight="1" ht="99">
      <c r="A95" s="849"/>
      <c r="B95" s="903">
        <v>78</v>
      </c>
      <c r="C95" s="847" t="s">
        <v>2530</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1794</v>
      </c>
      <c r="P95" s="961"/>
      <c r="Q95" s="961"/>
      <c r="R95" s="961"/>
      <c r="S95" s="961"/>
      <c r="T95" s="847" t="s">
        <v>2531</v>
      </c>
      <c r="U95" s="847"/>
      <c r="V95" s="847"/>
      <c r="W95" s="847"/>
      <c r="X95" s="847"/>
      <c r="Y95" s="1004"/>
      <c r="Z95" s="850"/>
      <c r="AA95" s="853"/>
      <c r="AB95" s="850"/>
      <c r="AC95" s="850"/>
      <c r="AD95" s="850"/>
    </row>
    <row customHeight="1" ht="99">
      <c r="A96" s="849"/>
      <c r="B96" s="903">
        <v>79</v>
      </c>
      <c r="C96" s="847" t="s">
        <v>1484</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130</v>
      </c>
      <c r="P96" s="961"/>
      <c r="Q96" s="961"/>
      <c r="R96" s="961"/>
      <c r="S96" s="961"/>
      <c r="T96" s="847" t="s">
        <v>2532</v>
      </c>
      <c r="U96" s="847"/>
      <c r="V96" s="847"/>
      <c r="W96" s="847"/>
      <c r="X96" s="847"/>
      <c r="Y96" s="1004"/>
      <c r="Z96" s="850" t="s">
        <v>2533</v>
      </c>
      <c r="AA96" s="853"/>
      <c r="AB96" s="850"/>
      <c r="AC96" s="850"/>
      <c r="AD96" s="850"/>
    </row>
    <row customHeight="1" ht="63">
      <c r="A97" s="849"/>
      <c r="B97" s="903">
        <v>80</v>
      </c>
      <c r="C97" s="847" t="s">
        <v>2534</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1811</v>
      </c>
      <c r="P97" s="961"/>
      <c r="Q97" s="961"/>
      <c r="R97" s="961"/>
      <c r="S97" s="961"/>
      <c r="T97" s="847" t="s">
        <v>2535</v>
      </c>
      <c r="U97" s="847"/>
      <c r="V97" s="847"/>
      <c r="W97" s="847"/>
      <c r="X97" s="847"/>
      <c r="Y97" s="1004"/>
      <c r="Z97" s="850" t="s">
        <v>2536</v>
      </c>
      <c r="AA97" s="853"/>
      <c r="AB97" s="850"/>
      <c r="AC97" s="850"/>
      <c r="AD97" s="850"/>
    </row>
    <row customHeight="1" ht="63">
      <c r="A98" s="849"/>
      <c r="B98" s="903">
        <v>81</v>
      </c>
      <c r="C98" s="847" t="s">
        <v>2537</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1825</v>
      </c>
      <c r="P98" s="961"/>
      <c r="Q98" s="961"/>
      <c r="R98" s="961"/>
      <c r="S98" s="961"/>
      <c r="T98" s="847" t="s">
        <v>2538</v>
      </c>
      <c r="U98" s="847"/>
      <c r="V98" s="847"/>
      <c r="W98" s="847"/>
      <c r="X98" s="847"/>
      <c r="Y98" s="1004"/>
      <c r="Z98" s="850" t="s">
        <v>2536</v>
      </c>
      <c r="AA98" s="853"/>
      <c r="AB98" s="850"/>
      <c r="AC98" s="850"/>
      <c r="AD98" s="850"/>
    </row>
    <row customHeight="1" ht="90">
      <c r="A99" s="849"/>
      <c r="B99" s="903">
        <v>82</v>
      </c>
      <c r="C99" s="847" t="s">
        <v>2539</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1837</v>
      </c>
      <c r="P99" s="961"/>
      <c r="Q99" s="961"/>
      <c r="R99" s="961"/>
      <c r="S99" s="961"/>
      <c r="T99" s="847" t="s">
        <v>2540</v>
      </c>
      <c r="U99" s="847"/>
      <c r="V99" s="847"/>
      <c r="W99" s="847"/>
      <c r="X99" s="847"/>
      <c r="Y99" s="1004"/>
      <c r="Z99" s="850" t="s">
        <v>814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2541</v>
      </c>
      <c r="P100" s="961"/>
      <c r="Q100" s="961"/>
      <c r="R100" s="961"/>
      <c r="S100" s="961"/>
      <c r="T100" s="847" t="s">
        <v>2542</v>
      </c>
      <c r="U100" s="847"/>
      <c r="V100" s="847"/>
      <c r="W100" s="847"/>
      <c r="X100" s="847"/>
      <c r="Y100" s="1004"/>
      <c r="Z100" s="850" t="s">
        <v>814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2543</v>
      </c>
      <c r="P101" s="961"/>
      <c r="Q101" s="961"/>
      <c r="R101" s="961"/>
      <c r="S101" s="961"/>
      <c r="T101" s="847" t="s">
        <v>2544</v>
      </c>
      <c r="U101" s="847"/>
      <c r="V101" s="847"/>
      <c r="W101" s="847"/>
      <c r="X101" s="847"/>
      <c r="Y101" s="1004"/>
      <c r="Z101" s="850" t="s">
        <v>814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1987</v>
      </c>
      <c r="B148" s="849"/>
      <c r="C148" s="847" t="s">
        <v>2545</v>
      </c>
      <c r="D148" s="847" t="s">
        <v>1892</v>
      </c>
      <c r="E148" s="847" t="s">
        <v>1989</v>
      </c>
      <c r="F148" s="847" t="s">
        <v>2546</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2547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2548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1991</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1994</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1999</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B34A8-1328-4E1F-2DA4-0735C6D09F4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2549</v>
      </c>
      <c r="M5" s="2620"/>
      <c r="N5" s="2620"/>
      <c r="O5" s="2620"/>
      <c r="P5" s="2620"/>
      <c r="Q5" s="2620"/>
      <c r="R5" s="2620"/>
      <c r="S5" s="2620"/>
      <c r="T5" s="2620"/>
      <c r="U5" s="2620"/>
      <c r="V5" s="1247"/>
      <c r="AD5" s="1159">
        <v>64</v>
      </c>
    </row>
    <row customHeight="1" ht="14.699999999999998">
      <c r="J6" s="380"/>
      <c r="K6" s="380"/>
      <c r="L6" s="2621" t="str">
        <f>IF(org=0,"Не определено",org)</f>
        <v>КГУП "Примтеплоэнерго"</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561</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562</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565</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438</v>
      </c>
      <c r="M14" s="2144"/>
      <c r="N14" s="2144"/>
      <c r="O14" s="2144"/>
      <c r="P14" s="2144"/>
      <c r="Q14" s="2144"/>
      <c r="R14" s="2144"/>
      <c r="S14" s="2144"/>
      <c r="T14" s="2144"/>
      <c r="U14" s="2144"/>
      <c r="V14" s="2144"/>
      <c r="W14" s="2144"/>
      <c r="X14" s="2144" t="s">
        <v>439</v>
      </c>
      <c r="AD14" s="1159">
        <v>14</v>
      </c>
    </row>
    <row customHeight="1" ht="14.699999999999998">
      <c r="J15" s="380"/>
      <c r="K15" s="380"/>
      <c r="L15" s="2290" t="s">
        <v>87</v>
      </c>
      <c r="M15" s="2226" t="s">
        <v>566</v>
      </c>
      <c r="N15" s="305"/>
      <c r="O15" s="2291" t="s">
        <v>2550</v>
      </c>
      <c r="P15" s="2292"/>
      <c r="Q15" s="2292"/>
      <c r="R15" s="2292"/>
      <c r="S15" s="2292"/>
      <c r="T15" s="2292"/>
      <c r="U15" s="2293"/>
      <c r="V15" s="2294" t="s">
        <v>568</v>
      </c>
      <c r="W15" s="2297" t="s">
        <v>1481</v>
      </c>
      <c r="X15" s="2144"/>
      <c r="AD15" s="1159">
        <v>14</v>
      </c>
    </row>
    <row customHeight="1" ht="35.699999999999996">
      <c r="J16" s="380"/>
      <c r="K16" s="380"/>
      <c r="L16" s="2290"/>
      <c r="M16" s="2226"/>
      <c r="N16" s="1035"/>
      <c r="O16" s="2277" t="s">
        <v>571</v>
      </c>
      <c r="P16" s="2277" t="s">
        <v>572</v>
      </c>
      <c r="Q16" s="2279" t="s">
        <v>573</v>
      </c>
      <c r="R16" s="2280"/>
      <c r="S16" s="2279" t="s">
        <v>587</v>
      </c>
      <c r="T16" s="2286"/>
      <c r="U16" s="2280"/>
      <c r="V16" s="2295"/>
      <c r="W16" s="2298"/>
      <c r="X16" s="2144"/>
      <c r="AD16" s="1159">
        <v>34</v>
      </c>
    </row>
    <row customHeight="1" ht="35.699999999999996">
      <c r="A17" s="1374" t="s">
        <v>278</v>
      </c>
      <c r="B17" s="1374" t="s">
        <v>279</v>
      </c>
      <c r="C17" s="1374" t="s">
        <v>280</v>
      </c>
      <c r="D17" s="1374" t="s">
        <v>281</v>
      </c>
      <c r="E17" s="1374"/>
      <c r="J17" s="380"/>
      <c r="K17" s="380"/>
      <c r="L17" s="2290"/>
      <c r="M17" s="2226"/>
      <c r="N17" s="306"/>
      <c r="O17" s="2278"/>
      <c r="P17" s="2278"/>
      <c r="Q17" s="1226" t="s">
        <v>582</v>
      </c>
      <c r="R17" s="1226" t="s">
        <v>583</v>
      </c>
      <c r="S17" s="1296" t="s">
        <v>584</v>
      </c>
      <c r="T17" s="2287" t="s">
        <v>585</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105</v>
      </c>
      <c r="M18" s="1259" t="s">
        <v>102</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308</v>
      </c>
      <c r="B19" s="1367" t="s">
        <v>309</v>
      </c>
      <c r="C19" s="1367" t="s">
        <v>310</v>
      </c>
      <c r="D19" s="1367" t="s">
        <v>311</v>
      </c>
      <c r="E19" s="1367"/>
      <c r="F19" s="1369"/>
      <c r="G19" s="1369"/>
      <c r="H19" s="1369"/>
      <c r="I19" s="365"/>
      <c r="J19" s="364"/>
      <c r="K19" s="359"/>
      <c r="L19" s="1297">
        <f>INDEX(PT_DIFFERENTIATION_NUM_NTAR,MATCH(A19,PT_DIFFERENTIATION_NTAR_ID,0))</f>
        <v>0</v>
      </c>
      <c r="M19" s="302" t="s">
        <v>267</v>
      </c>
      <c r="N19" s="304"/>
      <c r="O19" s="2623" t="str">
        <f>INDEX(PT_DIFFERENTIATION_NTAR,MATCH(A19,PT_DIFFERENTIATION_NTAR_ID,0))</f>
        <v/>
      </c>
      <c r="P19" s="2623"/>
      <c r="Q19" s="2623"/>
      <c r="R19" s="2623"/>
      <c r="S19" s="2623"/>
      <c r="T19" s="2623"/>
      <c r="U19" s="2623"/>
      <c r="V19" s="2623"/>
      <c r="W19" s="2623"/>
      <c r="X19" s="1262" t="s">
        <v>534</v>
      </c>
      <c r="Z19" s="504"/>
      <c r="AA19" s="504" t="str">
        <f>IF(M19="","",M19)</f>
        <v>Наименование тарифа</v>
      </c>
      <c r="AB19" s="504"/>
      <c r="AC19" s="504"/>
      <c r="AD19" s="1159">
        <v>20</v>
      </c>
    </row>
    <row customHeight="1" ht="21">
      <c r="A20" s="1367" t="s">
        <v>308</v>
      </c>
      <c r="B20" s="1367" t="s">
        <v>309</v>
      </c>
      <c r="C20" s="1367" t="s">
        <v>310</v>
      </c>
      <c r="D20" s="1367" t="s">
        <v>311</v>
      </c>
      <c r="E20" s="1367"/>
      <c r="F20" s="1369"/>
      <c r="G20" s="1369"/>
      <c r="H20" s="1369"/>
      <c r="I20" s="1294"/>
      <c r="J20" s="356"/>
      <c r="K20" s="357"/>
      <c r="L20" s="1297" t="str">
        <f>INDEX(PT_DIFFERENTIATION_NUM_TER,MATCH(B19,PT_DIFFERENTIATION_TER_ID,0))</f>
        <v>.</v>
      </c>
      <c r="M20" s="312" t="s">
        <v>535</v>
      </c>
      <c r="N20" s="304"/>
      <c r="O20" s="2623" t="str">
        <f>INDEX(PT_DIFFERENTIATION_TER,MATCH(B19,PT_DIFFERENTIATION_TER_ID,0))</f>
        <v/>
      </c>
      <c r="P20" s="2623"/>
      <c r="Q20" s="2623"/>
      <c r="R20" s="2623"/>
      <c r="S20" s="2623"/>
      <c r="T20" s="2623"/>
      <c r="U20" s="2623"/>
      <c r="V20" s="2623"/>
      <c r="W20" s="2623"/>
      <c r="X20" s="1262" t="s">
        <v>536</v>
      </c>
      <c r="Z20" s="504"/>
      <c r="AA20" s="504" t="str">
        <f>IF(M20="","",M20)</f>
        <v>Территория действия тарифа</v>
      </c>
      <c r="AB20" s="504"/>
      <c r="AC20" s="504"/>
      <c r="AD20" s="1159">
        <v>20</v>
      </c>
    </row>
    <row customHeight="1" ht="24">
      <c r="A21" s="1367" t="s">
        <v>308</v>
      </c>
      <c r="B21" s="1367" t="s">
        <v>309</v>
      </c>
      <c r="C21" s="1367" t="s">
        <v>310</v>
      </c>
      <c r="D21" s="1367" t="s">
        <v>311</v>
      </c>
      <c r="E21" s="1367"/>
      <c r="F21" s="1369"/>
      <c r="G21" s="1369"/>
      <c r="H21" s="1369"/>
      <c r="I21" s="358"/>
      <c r="J21" s="356"/>
      <c r="K21" s="357"/>
      <c r="L21" s="1297" t="str">
        <f>INDEX(PT_DIFFERENTIATION_NUM_CS,MATCH(C19,PT_DIFFERENTIATION_CS_ID,0))</f>
        <v>..</v>
      </c>
      <c r="M21" s="313" t="s">
        <v>537</v>
      </c>
      <c r="N21" s="304"/>
      <c r="O21" s="2623" t="str">
        <f>INDEX(PT_DIFFERENTIATION_CS,MATCH(C19,PT_DIFFERENTIATION_CS_ID,0))</f>
        <v/>
      </c>
      <c r="P21" s="2623"/>
      <c r="Q21" s="2623"/>
      <c r="R21" s="2623"/>
      <c r="S21" s="2623"/>
      <c r="T21" s="2623"/>
      <c r="U21" s="2623"/>
      <c r="V21" s="2623"/>
      <c r="W21" s="2623"/>
      <c r="X21" s="1262" t="s">
        <v>538</v>
      </c>
      <c r="Z21" s="504"/>
      <c r="AA21" s="504" t="str">
        <f>IF(M21="","",M21)</f>
        <v>Наименование системы теплоснабжения </v>
      </c>
      <c r="AB21" s="504"/>
      <c r="AC21" s="504"/>
      <c r="AD21" s="1159">
        <v>23</v>
      </c>
    </row>
    <row customHeight="1" ht="21">
      <c r="A22" s="1367" t="s">
        <v>308</v>
      </c>
      <c r="B22" s="1367" t="s">
        <v>309</v>
      </c>
      <c r="C22" s="1367" t="s">
        <v>310</v>
      </c>
      <c r="D22" s="1367" t="s">
        <v>311</v>
      </c>
      <c r="E22" s="1367"/>
      <c r="F22" s="1369"/>
      <c r="G22" s="1369"/>
      <c r="H22" s="1369"/>
      <c r="I22" s="358"/>
      <c r="J22" s="356"/>
      <c r="K22" s="357"/>
      <c r="L22" s="1297" t="str">
        <f>INDEX(PT_DIFFERENTIATION_NUM_IST_TE,MATCH(D19,PT_DIFFERENTIATION_IST_TE_ID,0))</f>
        <v>...</v>
      </c>
      <c r="M22" s="314" t="s">
        <v>539</v>
      </c>
      <c r="N22" s="304"/>
      <c r="O22" s="2623" t="str">
        <f>INDEX(PT_DIFFERENTIATION_IST_TE,MATCH(D19,PT_DIFFERENTIATION_IST_TE_ID,0))</f>
        <v/>
      </c>
      <c r="P22" s="2623"/>
      <c r="Q22" s="2623"/>
      <c r="R22" s="2623"/>
      <c r="S22" s="2623"/>
      <c r="T22" s="2623"/>
      <c r="U22" s="2623"/>
      <c r="V22" s="2623"/>
      <c r="W22" s="2623"/>
      <c r="X22" s="1262" t="s">
        <v>540</v>
      </c>
      <c r="Z22" s="504"/>
      <c r="AA22" s="504" t="str">
        <f>IF(M22="","",M22)</f>
        <v>Источник тепловой энергии  </v>
      </c>
      <c r="AB22" s="504"/>
      <c r="AC22" s="504"/>
      <c r="AD22" s="1159">
        <v>20</v>
      </c>
    </row>
    <row customHeight="1" ht="96.75">
      <c r="A23" s="1367" t="s">
        <v>308</v>
      </c>
      <c r="B23" s="1367" t="s">
        <v>309</v>
      </c>
      <c r="C23" s="1367" t="s">
        <v>310</v>
      </c>
      <c r="D23" s="1367" t="s">
        <v>311</v>
      </c>
      <c r="E23" s="1367"/>
      <c r="F23" s="2624" t="str">
        <f>L22&amp;".1"</f>
        <v>....1</v>
      </c>
      <c r="I23" s="2274">
        <v>1</v>
      </c>
      <c r="J23" s="1295"/>
      <c r="K23" s="360"/>
      <c r="L23" s="1297" t="str">
        <f>$F$23</f>
        <v>....1</v>
      </c>
      <c r="M23" s="289" t="s">
        <v>542</v>
      </c>
      <c r="N23" s="304"/>
      <c r="O23" s="2322"/>
      <c r="P23" s="2322"/>
      <c r="Q23" s="2322"/>
      <c r="R23" s="2322"/>
      <c r="S23" s="2322"/>
      <c r="T23" s="2322"/>
      <c r="U23" s="2322"/>
      <c r="V23" s="2322"/>
      <c r="W23" s="2322"/>
      <c r="X23" s="1262" t="s">
        <v>543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308</v>
      </c>
      <c r="B24" s="1367" t="s">
        <v>309</v>
      </c>
      <c r="C24" s="1367" t="s">
        <v>310</v>
      </c>
      <c r="D24" s="1367" t="s">
        <v>311</v>
      </c>
      <c r="E24" s="1367"/>
      <c r="F24" s="2624"/>
      <c r="G24" s="2234" t="str">
        <f>F23&amp;".1"</f>
        <v>....1.1</v>
      </c>
      <c r="I24" s="2274"/>
      <c r="J24" s="2274">
        <v>1</v>
      </c>
      <c r="K24" s="361"/>
      <c r="L24" s="1297" t="str">
        <f>$G$24</f>
        <v>....1.1</v>
      </c>
      <c r="M24" s="290" t="s">
        <v>545</v>
      </c>
      <c r="N24" s="304"/>
      <c r="O24" s="2262"/>
      <c r="P24" s="2263"/>
      <c r="Q24" s="2263"/>
      <c r="R24" s="2263"/>
      <c r="S24" s="2263"/>
      <c r="T24" s="2263"/>
      <c r="U24" s="2263"/>
      <c r="V24" s="2263"/>
      <c r="W24" s="2264"/>
      <c r="X24" s="1262" t="s">
        <v>546</v>
      </c>
      <c r="Z24" s="504"/>
      <c r="AA24" s="504" t="str">
        <f>IF(M24="","",M24)</f>
        <v>Группа потребителей</v>
      </c>
      <c r="AB24" s="504"/>
      <c r="AC24" s="504"/>
      <c r="AD24" s="1159">
        <v>82</v>
      </c>
    </row>
    <row customHeight="1" ht="11.549999999999999">
      <c r="A25" s="1367" t="s">
        <v>308</v>
      </c>
      <c r="B25" s="1367" t="s">
        <v>309</v>
      </c>
      <c r="C25" s="1367" t="s">
        <v>310</v>
      </c>
      <c r="D25" s="1367" t="s">
        <v>311</v>
      </c>
      <c r="E25" s="1367"/>
      <c r="F25" s="2624"/>
      <c r="G25" s="2234"/>
      <c r="H25" s="2234" t="str">
        <f>G24&amp;".1"</f>
        <v>....1.1.1</v>
      </c>
      <c r="I25" s="2274"/>
      <c r="J25" s="2274"/>
      <c r="K25" s="361">
        <v>1</v>
      </c>
      <c r="L25" s="1297" t="str">
        <f>$H$25</f>
        <v>....1.1.1</v>
      </c>
      <c r="M25" s="1351"/>
      <c r="N25" s="304"/>
      <c r="O25" s="755"/>
      <c r="P25" s="329"/>
      <c r="Q25" s="755"/>
      <c r="R25" s="1261"/>
      <c r="S25" s="2619"/>
      <c r="T25" s="2124" t="s">
        <v>64</v>
      </c>
      <c r="U25" s="2619"/>
      <c r="V25" s="2124" t="s">
        <v>19</v>
      </c>
      <c r="W25" s="329"/>
      <c r="X25" s="2270" t="s">
        <v>548</v>
      </c>
      <c r="Y25" s="515">
        <f>STRCHECKDATE(O26:W26)</f>
      </c>
      <c r="Z25" s="504"/>
      <c r="AA25" s="504" t="str">
        <f>IF(M25="","",M25)</f>
        <v/>
      </c>
      <c r="AB25" s="504"/>
      <c r="AC25" s="504"/>
      <c r="AD25" s="1159">
        <v>11</v>
      </c>
    </row>
    <row customHeight="1" ht="11.549999999999999">
      <c r="A26" s="1367" t="s">
        <v>308</v>
      </c>
      <c r="B26" s="1367" t="s">
        <v>309</v>
      </c>
      <c r="C26" s="1367" t="s">
        <v>310</v>
      </c>
      <c r="D26" s="1367" t="s">
        <v>311</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308</v>
      </c>
      <c r="B27" s="1367" t="s">
        <v>309</v>
      </c>
      <c r="C27" s="1367" t="s">
        <v>310</v>
      </c>
      <c r="D27" s="1367" t="s">
        <v>311</v>
      </c>
      <c r="E27" s="1367"/>
      <c r="F27" s="2624"/>
      <c r="G27" s="2234"/>
      <c r="I27" s="2274"/>
      <c r="J27" s="2274"/>
      <c r="K27" s="360"/>
      <c r="L27" s="1282"/>
      <c r="M27" s="292" t="s">
        <v>549</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308</v>
      </c>
      <c r="B28" s="1367" t="s">
        <v>309</v>
      </c>
      <c r="C28" s="1367" t="s">
        <v>310</v>
      </c>
      <c r="D28" s="1367" t="s">
        <v>311</v>
      </c>
      <c r="E28" s="1367"/>
      <c r="F28" s="2624"/>
      <c r="I28" s="2274"/>
      <c r="J28" s="1295"/>
      <c r="K28" s="360"/>
      <c r="L28" s="1282"/>
      <c r="M28" s="291" t="s">
        <v>550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308</v>
      </c>
      <c r="B29" s="1367" t="s">
        <v>309</v>
      </c>
      <c r="C29" s="1367" t="s">
        <v>310</v>
      </c>
      <c r="D29" s="1367" t="s">
        <v>311</v>
      </c>
      <c r="E29" s="1367"/>
      <c r="F29" s="1369"/>
      <c r="G29" s="1369"/>
      <c r="H29" s="541"/>
      <c r="I29" s="364"/>
      <c r="J29" s="379"/>
      <c r="K29" s="359"/>
      <c r="L29" s="1282"/>
      <c r="M29" s="369" t="s">
        <v>551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308</v>
      </c>
      <c r="B30" s="1367" t="s">
        <v>309</v>
      </c>
      <c r="C30" s="1367" t="s">
        <v>310</v>
      </c>
      <c r="D30" s="1367"/>
      <c r="E30" s="1367" t="s">
        <v>732</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308</v>
      </c>
      <c r="B31" s="1367" t="s">
        <v>309</v>
      </c>
      <c r="C31" s="1367"/>
      <c r="D31" s="1367"/>
      <c r="E31" s="1367" t="s">
        <v>2551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2552</v>
      </c>
      <c r="B32" s="1367"/>
      <c r="C32" s="1367"/>
      <c r="D32" s="1367"/>
      <c r="E32" s="1367" t="s">
        <v>172</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586</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1004</v>
      </c>
      <c r="M35" s="2302" t="s">
        <v>2553</v>
      </c>
      <c r="N35" s="2302"/>
      <c r="O35" s="2302"/>
      <c r="P35" s="2302"/>
      <c r="Q35" s="2302"/>
      <c r="R35" s="2302"/>
      <c r="S35" s="2302"/>
      <c r="T35" s="2302"/>
      <c r="U35" s="2302"/>
      <c r="V35" s="2302"/>
      <c r="W35" s="2302"/>
      <c r="X35" s="2302"/>
      <c r="AD35" s="1159">
        <v>27</v>
      </c>
    </row>
    <row customHeight="1" ht="109.19999999999999">
      <c r="H36" s="541"/>
      <c r="I36" s="1307"/>
      <c r="M36" s="2302" t="s">
        <v>2554</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3A74-5C18-41F8-5AE8-FA0D38C9B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A2A7-B358-BC68-3808-168C99D4F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8C168-D29E-F29A-C078-3434C042E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90B98-04D6-F138-B4D8-CFC3F0AFF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C6D63-8728-A544-F6F6-3F60AE0E1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468F8-74A8-8031-7338-C98338FB1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3378-D7B8-16E8-C738-CB2CD1C03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32FE9-7768-2F98-DBF8-2FB7F708DD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9E48-E59E-61F3-01A8-1DC4A6C4E2E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2555</v>
      </c>
      <c r="B1" s="2634" t="s">
        <v>2556</v>
      </c>
      <c r="C1" s="2635" t="s">
        <v>2557</v>
      </c>
      <c r="D1" s="2636"/>
      <c r="E1" s="840" t="s">
        <v>2558</v>
      </c>
    </row>
    <row customHeight="1" ht="11.25">
      <c r="A2" s="2637"/>
      <c r="B2" s="769" t="s">
        <v>27</v>
      </c>
      <c r="C2" s="757"/>
      <c r="D2" s="768"/>
      <c r="E2" s="840"/>
    </row>
    <row customHeight="1" ht="11.25">
      <c r="A3" s="2638"/>
      <c r="B3" s="2639" t="s">
        <v>33</v>
      </c>
      <c r="C3" s="757"/>
      <c r="D3" s="768"/>
      <c r="E3" s="840"/>
    </row>
    <row customHeight="1" ht="11.25">
      <c r="A4" s="2640"/>
      <c r="B4" s="770" t="s">
        <v>1987</v>
      </c>
      <c r="C4" s="757"/>
      <c r="D4" s="768"/>
      <c r="E4" s="840"/>
    </row>
    <row customHeight="1" ht="11.25">
      <c r="A5" s="2641"/>
      <c r="B5" s="770" t="s">
        <v>1983</v>
      </c>
      <c r="C5" s="2642" t="s">
        <v>2325</v>
      </c>
      <c r="D5" s="2643" t="s">
        <v>2559</v>
      </c>
      <c r="E5" s="840"/>
    </row>
    <row s="1851" customFormat="1" customHeight="1" ht="11.25">
      <c r="A6" s="2644"/>
      <c r="B6" s="770" t="s">
        <v>1991</v>
      </c>
      <c r="C6" s="757"/>
      <c r="D6" s="768"/>
      <c r="E6" s="840"/>
    </row>
    <row customHeight="1" ht="11.25">
      <c r="A7" s="2645"/>
      <c r="B7" s="770" t="s">
        <v>1999</v>
      </c>
      <c r="C7" s="757"/>
      <c r="D7" s="768"/>
      <c r="E7" s="840"/>
    </row>
    <row customHeight="1" ht="11.25">
      <c r="A8" s="760"/>
      <c r="B8" s="770" t="s">
        <v>1994</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DA536-CC7F-24B8-4CE8-30C06CB88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5D974-4CCF-AD78-6F6F-1798F2907E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2054D-9E58-44A8-F0D8-4CD1E29D011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2560</v>
      </c>
      <c r="B1" s="72" t="s">
        <v>2561</v>
      </c>
      <c r="C1" s="72" t="s">
        <v>2562</v>
      </c>
      <c r="D1" s="72" t="s">
        <v>2563</v>
      </c>
      <c r="E1" s="72" t="s">
        <v>2564</v>
      </c>
      <c r="F1" s="72" t="s">
        <v>2565</v>
      </c>
      <c r="G1" s="72" t="s">
        <v>2566</v>
      </c>
      <c r="H1" s="72" t="s">
        <v>2567</v>
      </c>
      <c r="I1" s="72" t="s">
        <v>2568</v>
      </c>
    </row>
    <row customHeight="1" ht="11.25">
      <c r="A2" s="1851" t="s">
        <v>2569</v>
      </c>
      <c r="B2" s="1851" t="s">
        <v>16</v>
      </c>
      <c r="C2" s="1851" t="s">
        <v>22</v>
      </c>
      <c r="D2" s="1851" t="s">
        <v>2570</v>
      </c>
      <c r="E2" s="1851" t="s">
        <v>2571</v>
      </c>
      <c r="F2" s="1851" t="s">
        <v>2572</v>
      </c>
      <c r="G2" s="1851" t="s">
        <v>22</v>
      </c>
      <c r="H2" s="1851" t="s">
        <v>22</v>
      </c>
      <c r="I2" s="1851" t="s">
        <v>1008</v>
      </c>
    </row>
    <row customHeight="1" ht="11.25">
      <c r="A3" s="1851" t="s">
        <v>2569</v>
      </c>
      <c r="B3" s="1851" t="s">
        <v>16</v>
      </c>
      <c r="C3" s="1851" t="s">
        <v>2573</v>
      </c>
      <c r="D3" s="1851" t="s">
        <v>2574</v>
      </c>
      <c r="E3" s="1851" t="s">
        <v>2575</v>
      </c>
      <c r="F3" s="1851" t="s">
        <v>2576</v>
      </c>
      <c r="G3" s="1851" t="s">
        <v>22</v>
      </c>
      <c r="H3" s="1851" t="s">
        <v>22</v>
      </c>
      <c r="I3" s="1851" t="s">
        <v>1008</v>
      </c>
    </row>
    <row customHeight="1" ht="11.25">
      <c r="A4" s="1851" t="s">
        <v>2569</v>
      </c>
      <c r="B4" s="1851" t="s">
        <v>16</v>
      </c>
      <c r="C4" s="1851" t="s">
        <v>2577</v>
      </c>
      <c r="D4" s="1851" t="s">
        <v>2578</v>
      </c>
      <c r="E4" s="1851" t="s">
        <v>2579</v>
      </c>
      <c r="F4" s="1851" t="s">
        <v>2580</v>
      </c>
      <c r="G4" s="1851" t="s">
        <v>22</v>
      </c>
      <c r="H4" s="1851" t="s">
        <v>22</v>
      </c>
      <c r="I4" s="1851" t="s">
        <v>1008</v>
      </c>
    </row>
    <row customHeight="1" ht="11.25">
      <c r="A5" s="1851" t="s">
        <v>2569</v>
      </c>
      <c r="B5" s="1851" t="s">
        <v>16</v>
      </c>
      <c r="C5" s="1851" t="s">
        <v>2581</v>
      </c>
      <c r="D5" s="1851" t="s">
        <v>2582</v>
      </c>
      <c r="E5" s="1851" t="s">
        <v>2583</v>
      </c>
      <c r="F5" s="1851" t="s">
        <v>2584</v>
      </c>
      <c r="G5" s="1851" t="s">
        <v>22</v>
      </c>
      <c r="H5" s="1851" t="s">
        <v>22</v>
      </c>
      <c r="I5" s="1851" t="s">
        <v>1008</v>
      </c>
    </row>
    <row customHeight="1" ht="11.25">
      <c r="A6" s="1851" t="s">
        <v>2569</v>
      </c>
      <c r="B6" s="1851" t="s">
        <v>16</v>
      </c>
      <c r="C6" s="1851" t="s">
        <v>2585</v>
      </c>
      <c r="D6" s="1851" t="s">
        <v>2586</v>
      </c>
      <c r="E6" s="1851" t="s">
        <v>2587</v>
      </c>
      <c r="F6" s="1851" t="s">
        <v>2588</v>
      </c>
      <c r="G6" s="1851" t="s">
        <v>22</v>
      </c>
      <c r="H6" s="1851" t="s">
        <v>22</v>
      </c>
      <c r="I6" s="1851" t="s">
        <v>1008</v>
      </c>
    </row>
    <row customHeight="1" ht="11.25">
      <c r="A7" s="1851" t="s">
        <v>2569</v>
      </c>
      <c r="B7" s="1851" t="s">
        <v>16</v>
      </c>
      <c r="C7" s="1851" t="s">
        <v>2589</v>
      </c>
      <c r="D7" s="1851" t="s">
        <v>2586</v>
      </c>
      <c r="E7" s="1851" t="s">
        <v>2587</v>
      </c>
      <c r="F7" s="1851" t="s">
        <v>2590</v>
      </c>
      <c r="G7" s="1851" t="s">
        <v>2591</v>
      </c>
      <c r="H7" s="1851" t="s">
        <v>22</v>
      </c>
      <c r="I7" s="1851" t="s">
        <v>1008</v>
      </c>
    </row>
    <row customHeight="1" ht="11.25">
      <c r="A8" s="1851" t="s">
        <v>2569</v>
      </c>
      <c r="B8" s="1851" t="s">
        <v>16</v>
      </c>
      <c r="C8" s="1851" t="s">
        <v>2592</v>
      </c>
      <c r="D8" s="1851" t="s">
        <v>2593</v>
      </c>
      <c r="E8" s="1851" t="s">
        <v>2587</v>
      </c>
      <c r="F8" s="1851" t="s">
        <v>2594</v>
      </c>
      <c r="G8" s="1851" t="s">
        <v>22</v>
      </c>
      <c r="H8" s="1851" t="s">
        <v>22</v>
      </c>
      <c r="I8" s="1851" t="s">
        <v>1008</v>
      </c>
    </row>
    <row customHeight="1" ht="11.25">
      <c r="A9" s="1851" t="s">
        <v>2569</v>
      </c>
      <c r="B9" s="1851" t="s">
        <v>16</v>
      </c>
      <c r="C9" s="1851" t="s">
        <v>2595</v>
      </c>
      <c r="D9" s="1851" t="s">
        <v>2596</v>
      </c>
      <c r="E9" s="1851" t="s">
        <v>2587</v>
      </c>
      <c r="F9" s="1851" t="s">
        <v>2597</v>
      </c>
      <c r="G9" s="1851" t="s">
        <v>22</v>
      </c>
      <c r="H9" s="1851" t="s">
        <v>22</v>
      </c>
      <c r="I9" s="1851" t="s">
        <v>1008</v>
      </c>
    </row>
    <row customHeight="1" ht="11.25">
      <c r="A10" s="1851" t="s">
        <v>2569</v>
      </c>
      <c r="B10" s="1851" t="s">
        <v>16</v>
      </c>
      <c r="C10" s="1851" t="s">
        <v>2598</v>
      </c>
      <c r="D10" s="1851" t="s">
        <v>2599</v>
      </c>
      <c r="E10" s="1851" t="s">
        <v>2600</v>
      </c>
      <c r="F10" s="1851" t="s">
        <v>2601</v>
      </c>
      <c r="G10" s="1851" t="s">
        <v>22</v>
      </c>
      <c r="H10" s="1851" t="s">
        <v>22</v>
      </c>
      <c r="I10" s="1851" t="s">
        <v>1008</v>
      </c>
    </row>
    <row customHeight="1" ht="11.25">
      <c r="A11" s="1851" t="s">
        <v>2569</v>
      </c>
      <c r="B11" s="1851" t="s">
        <v>16</v>
      </c>
      <c r="C11" s="1851" t="s">
        <v>2602</v>
      </c>
      <c r="D11" s="1851" t="s">
        <v>2603</v>
      </c>
      <c r="E11" s="1851" t="s">
        <v>2604</v>
      </c>
      <c r="F11" s="1851" t="s">
        <v>2605</v>
      </c>
      <c r="G11" s="1851" t="s">
        <v>22</v>
      </c>
      <c r="H11" s="1851" t="s">
        <v>22</v>
      </c>
      <c r="I11" s="1851" t="s">
        <v>1008</v>
      </c>
    </row>
    <row customHeight="1" ht="11.25">
      <c r="A12" s="1851" t="s">
        <v>2569</v>
      </c>
      <c r="B12" s="1851" t="s">
        <v>16</v>
      </c>
      <c r="C12" s="1851" t="s">
        <v>2606</v>
      </c>
      <c r="D12" s="1851" t="s">
        <v>2607</v>
      </c>
      <c r="E12" s="1851" t="s">
        <v>2608</v>
      </c>
      <c r="F12" s="1851" t="s">
        <v>2609</v>
      </c>
      <c r="G12" s="1851" t="s">
        <v>22</v>
      </c>
      <c r="H12" s="1851" t="s">
        <v>22</v>
      </c>
      <c r="I12" s="1851" t="s">
        <v>1008</v>
      </c>
    </row>
    <row customHeight="1" ht="11.25">
      <c r="A13" s="1851" t="s">
        <v>2569</v>
      </c>
      <c r="B13" s="1851" t="s">
        <v>16</v>
      </c>
      <c r="C13" s="1851" t="s">
        <v>2610</v>
      </c>
      <c r="D13" s="1851" t="s">
        <v>2611</v>
      </c>
      <c r="E13" s="1851" t="s">
        <v>2612</v>
      </c>
      <c r="F13" s="1851" t="s">
        <v>2613</v>
      </c>
      <c r="G13" s="1851" t="s">
        <v>22</v>
      </c>
      <c r="H13" s="1851" t="s">
        <v>22</v>
      </c>
      <c r="I13" s="1851" t="s">
        <v>1008</v>
      </c>
    </row>
    <row customHeight="1" ht="11.25">
      <c r="A14" s="1851" t="s">
        <v>2569</v>
      </c>
      <c r="B14" s="1851" t="s">
        <v>16</v>
      </c>
      <c r="C14" s="1851" t="s">
        <v>2614</v>
      </c>
      <c r="D14" s="1851" t="s">
        <v>2615</v>
      </c>
      <c r="E14" s="1851" t="s">
        <v>2616</v>
      </c>
      <c r="F14" s="1851" t="s">
        <v>2617</v>
      </c>
      <c r="G14" s="1851" t="s">
        <v>2618</v>
      </c>
      <c r="H14" s="1851" t="s">
        <v>22</v>
      </c>
      <c r="I14" s="1851" t="s">
        <v>1008</v>
      </c>
    </row>
    <row customHeight="1" ht="11.25">
      <c r="A15" s="1851" t="s">
        <v>2569</v>
      </c>
      <c r="B15" s="1851" t="s">
        <v>16</v>
      </c>
      <c r="C15" s="1851" t="s">
        <v>2619</v>
      </c>
      <c r="D15" s="1851" t="s">
        <v>2620</v>
      </c>
      <c r="E15" s="1851" t="s">
        <v>2621</v>
      </c>
      <c r="F15" s="1851" t="s">
        <v>2580</v>
      </c>
      <c r="G15" s="1851" t="s">
        <v>22</v>
      </c>
      <c r="H15" s="1851" t="s">
        <v>22</v>
      </c>
      <c r="I15" s="1851" t="s">
        <v>1008</v>
      </c>
    </row>
    <row customHeight="1" ht="11.25">
      <c r="A16" s="1851" t="s">
        <v>2569</v>
      </c>
      <c r="B16" s="1851" t="s">
        <v>16</v>
      </c>
      <c r="C16" s="1851" t="s">
        <v>2622</v>
      </c>
      <c r="D16" s="1851" t="s">
        <v>2623</v>
      </c>
      <c r="E16" s="1851" t="s">
        <v>2624</v>
      </c>
      <c r="F16" s="1851" t="s">
        <v>2625</v>
      </c>
      <c r="G16" s="1851" t="s">
        <v>22</v>
      </c>
      <c r="H16" s="1851" t="s">
        <v>22</v>
      </c>
      <c r="I16" s="1851" t="s">
        <v>1008</v>
      </c>
    </row>
    <row customHeight="1" ht="11.25">
      <c r="A17" s="1851" t="s">
        <v>2569</v>
      </c>
      <c r="B17" s="1851" t="s">
        <v>16</v>
      </c>
      <c r="C17" s="1851" t="s">
        <v>2626</v>
      </c>
      <c r="D17" s="1851" t="s">
        <v>2627</v>
      </c>
      <c r="E17" s="1851" t="s">
        <v>2628</v>
      </c>
      <c r="F17" s="1851" t="s">
        <v>2629</v>
      </c>
      <c r="G17" s="1851" t="s">
        <v>2630</v>
      </c>
      <c r="H17" s="1851" t="s">
        <v>22</v>
      </c>
      <c r="I17" s="1851" t="s">
        <v>1008</v>
      </c>
    </row>
    <row customHeight="1" ht="11.25">
      <c r="A18" s="1851" t="s">
        <v>2569</v>
      </c>
      <c r="B18" s="1851" t="s">
        <v>16</v>
      </c>
      <c r="C18" s="1851" t="s">
        <v>2631</v>
      </c>
      <c r="D18" s="1851" t="s">
        <v>2632</v>
      </c>
      <c r="E18" s="1851" t="s">
        <v>2633</v>
      </c>
      <c r="F18" s="1851" t="s">
        <v>2634</v>
      </c>
      <c r="G18" s="1851" t="s">
        <v>2635</v>
      </c>
      <c r="H18" s="1851" t="s">
        <v>22</v>
      </c>
      <c r="I18" s="1851" t="s">
        <v>1008</v>
      </c>
    </row>
    <row customHeight="1" ht="11.25">
      <c r="A19" s="1851" t="s">
        <v>2569</v>
      </c>
      <c r="B19" s="1851" t="s">
        <v>16</v>
      </c>
      <c r="C19" s="1851" t="s">
        <v>2636</v>
      </c>
      <c r="D19" s="1851" t="s">
        <v>2637</v>
      </c>
      <c r="E19" s="1851" t="s">
        <v>2638</v>
      </c>
      <c r="F19" s="1851" t="s">
        <v>2601</v>
      </c>
      <c r="G19" s="1851" t="s">
        <v>22</v>
      </c>
      <c r="H19" s="1851" t="s">
        <v>22</v>
      </c>
      <c r="I19" s="1851" t="s">
        <v>1008</v>
      </c>
    </row>
    <row customHeight="1" ht="11.25">
      <c r="A20" s="1851" t="s">
        <v>2569</v>
      </c>
      <c r="B20" s="1851" t="s">
        <v>16</v>
      </c>
      <c r="C20" s="1851" t="s">
        <v>2639</v>
      </c>
      <c r="D20" s="1851" t="s">
        <v>2640</v>
      </c>
      <c r="E20" s="1851" t="s">
        <v>2641</v>
      </c>
      <c r="F20" s="1851" t="s">
        <v>2642</v>
      </c>
      <c r="G20" s="1851" t="s">
        <v>22</v>
      </c>
      <c r="H20" s="1851" t="s">
        <v>22</v>
      </c>
      <c r="I20" s="1851" t="s">
        <v>1008</v>
      </c>
    </row>
    <row customHeight="1" ht="11.25">
      <c r="A21" s="1851" t="s">
        <v>2569</v>
      </c>
      <c r="B21" s="1851" t="s">
        <v>16</v>
      </c>
      <c r="C21" s="1851" t="s">
        <v>2643</v>
      </c>
      <c r="D21" s="1851" t="s">
        <v>2644</v>
      </c>
      <c r="E21" s="1851" t="s">
        <v>2645</v>
      </c>
      <c r="F21" s="1851" t="s">
        <v>2613</v>
      </c>
      <c r="G21" s="1851" t="s">
        <v>2646</v>
      </c>
      <c r="H21" s="1851" t="s">
        <v>22</v>
      </c>
      <c r="I21" s="1851" t="s">
        <v>1008</v>
      </c>
    </row>
    <row customHeight="1" ht="11.25">
      <c r="A22" s="1851" t="s">
        <v>2569</v>
      </c>
      <c r="B22" s="1851" t="s">
        <v>16</v>
      </c>
      <c r="C22" s="1851" t="s">
        <v>2647</v>
      </c>
      <c r="D22" s="1851" t="s">
        <v>2648</v>
      </c>
      <c r="E22" s="1851" t="s">
        <v>2649</v>
      </c>
      <c r="F22" s="1851" t="s">
        <v>2650</v>
      </c>
      <c r="G22" s="1851" t="s">
        <v>22</v>
      </c>
      <c r="H22" s="1851" t="s">
        <v>22</v>
      </c>
      <c r="I22" s="1851" t="s">
        <v>1008</v>
      </c>
    </row>
    <row customHeight="1" ht="11.25">
      <c r="A23" s="1851" t="s">
        <v>2569</v>
      </c>
      <c r="B23" s="1851" t="s">
        <v>16</v>
      </c>
      <c r="C23" s="1851" t="s">
        <v>2651</v>
      </c>
      <c r="D23" s="1851" t="s">
        <v>2652</v>
      </c>
      <c r="E23" s="1851" t="s">
        <v>2653</v>
      </c>
      <c r="F23" s="1851" t="s">
        <v>2572</v>
      </c>
      <c r="G23" s="1851" t="s">
        <v>2654</v>
      </c>
      <c r="H23" s="1851" t="s">
        <v>22</v>
      </c>
      <c r="I23" s="1851" t="s">
        <v>1008</v>
      </c>
    </row>
    <row customHeight="1" ht="11.25">
      <c r="A24" s="1851" t="s">
        <v>2569</v>
      </c>
      <c r="B24" s="1851" t="s">
        <v>16</v>
      </c>
      <c r="C24" s="1851" t="s">
        <v>2655</v>
      </c>
      <c r="D24" s="1851" t="s">
        <v>2656</v>
      </c>
      <c r="E24" s="1851" t="s">
        <v>2657</v>
      </c>
      <c r="F24" s="1851" t="s">
        <v>2658</v>
      </c>
      <c r="G24" s="1851" t="s">
        <v>22</v>
      </c>
      <c r="H24" s="1851" t="s">
        <v>22</v>
      </c>
      <c r="I24" s="1851" t="s">
        <v>1008</v>
      </c>
    </row>
    <row customHeight="1" ht="11.25">
      <c r="A25" s="1851" t="s">
        <v>2569</v>
      </c>
      <c r="B25" s="1851" t="s">
        <v>16</v>
      </c>
      <c r="C25" s="1851" t="s">
        <v>2659</v>
      </c>
      <c r="D25" s="1851" t="s">
        <v>2660</v>
      </c>
      <c r="E25" s="1851" t="s">
        <v>2661</v>
      </c>
      <c r="F25" s="1851" t="s">
        <v>2613</v>
      </c>
      <c r="G25" s="1851" t="s">
        <v>22</v>
      </c>
      <c r="H25" s="1851" t="s">
        <v>22</v>
      </c>
      <c r="I25" s="1851" t="s">
        <v>1008</v>
      </c>
    </row>
    <row customHeight="1" ht="11.25">
      <c r="A26" s="1851" t="s">
        <v>2569</v>
      </c>
      <c r="B26" s="1851" t="s">
        <v>16</v>
      </c>
      <c r="C26" s="1851" t="s">
        <v>2662</v>
      </c>
      <c r="D26" s="1851" t="s">
        <v>2663</v>
      </c>
      <c r="E26" s="1851" t="s">
        <v>2664</v>
      </c>
      <c r="F26" s="1851" t="s">
        <v>2572</v>
      </c>
      <c r="G26" s="1851" t="s">
        <v>22</v>
      </c>
      <c r="H26" s="1851" t="s">
        <v>22</v>
      </c>
      <c r="I26" s="1851" t="s">
        <v>1008</v>
      </c>
    </row>
    <row customHeight="1" ht="11.25">
      <c r="A27" s="1851" t="s">
        <v>2569</v>
      </c>
      <c r="B27" s="1851" t="s">
        <v>16</v>
      </c>
      <c r="C27" s="1851" t="s">
        <v>2665</v>
      </c>
      <c r="D27" s="1851" t="s">
        <v>2666</v>
      </c>
      <c r="E27" s="1851" t="s">
        <v>2667</v>
      </c>
      <c r="F27" s="1851" t="s">
        <v>2668</v>
      </c>
      <c r="G27" s="1851" t="s">
        <v>22</v>
      </c>
      <c r="H27" s="1851" t="s">
        <v>22</v>
      </c>
      <c r="I27" s="1851" t="s">
        <v>1008</v>
      </c>
    </row>
    <row customHeight="1" ht="11.25">
      <c r="A28" s="1851" t="s">
        <v>2569</v>
      </c>
      <c r="B28" s="1851" t="s">
        <v>16</v>
      </c>
      <c r="C28" s="1851" t="s">
        <v>2669</v>
      </c>
      <c r="D28" s="1851" t="s">
        <v>2670</v>
      </c>
      <c r="E28" s="1851" t="s">
        <v>2671</v>
      </c>
      <c r="F28" s="1851" t="s">
        <v>2672</v>
      </c>
      <c r="G28" s="1851" t="s">
        <v>22</v>
      </c>
      <c r="H28" s="1851" t="s">
        <v>22</v>
      </c>
      <c r="I28" s="1851" t="s">
        <v>1008</v>
      </c>
    </row>
    <row customHeight="1" ht="11.25">
      <c r="A29" s="1851" t="s">
        <v>2569</v>
      </c>
      <c r="B29" s="1851" t="s">
        <v>16</v>
      </c>
      <c r="C29" s="1851" t="s">
        <v>2673</v>
      </c>
      <c r="D29" s="1851" t="s">
        <v>2674</v>
      </c>
      <c r="E29" s="1851" t="s">
        <v>2671</v>
      </c>
      <c r="F29" s="1851" t="s">
        <v>2675</v>
      </c>
      <c r="G29" s="1851" t="s">
        <v>22</v>
      </c>
      <c r="H29" s="1851" t="s">
        <v>22</v>
      </c>
      <c r="I29" s="1851" t="s">
        <v>1008</v>
      </c>
    </row>
    <row customHeight="1" ht="11.25">
      <c r="A30" s="1851" t="s">
        <v>2569</v>
      </c>
      <c r="B30" s="1851" t="s">
        <v>16</v>
      </c>
      <c r="C30" s="1851" t="s">
        <v>2676</v>
      </c>
      <c r="D30" s="1851" t="s">
        <v>2677</v>
      </c>
      <c r="E30" s="1851" t="s">
        <v>2678</v>
      </c>
      <c r="F30" s="1851" t="s">
        <v>2679</v>
      </c>
      <c r="G30" s="1851" t="s">
        <v>22</v>
      </c>
      <c r="H30" s="1851" t="s">
        <v>22</v>
      </c>
      <c r="I30" s="1851" t="s">
        <v>1008</v>
      </c>
    </row>
    <row customHeight="1" ht="11.25">
      <c r="A31" s="1851" t="s">
        <v>2569</v>
      </c>
      <c r="B31" s="1851" t="s">
        <v>16</v>
      </c>
      <c r="C31" s="1851" t="s">
        <v>2680</v>
      </c>
      <c r="D31" s="1851" t="s">
        <v>2681</v>
      </c>
      <c r="E31" s="1851" t="s">
        <v>2682</v>
      </c>
      <c r="F31" s="1851" t="s">
        <v>2642</v>
      </c>
      <c r="G31" s="1851" t="s">
        <v>2683</v>
      </c>
      <c r="H31" s="1851" t="s">
        <v>22</v>
      </c>
      <c r="I31" s="1851" t="s">
        <v>1008</v>
      </c>
    </row>
    <row customHeight="1" ht="11.25">
      <c r="A32" s="1851" t="s">
        <v>2569</v>
      </c>
      <c r="B32" s="1851" t="s">
        <v>16</v>
      </c>
      <c r="C32" s="1851" t="s">
        <v>2684</v>
      </c>
      <c r="D32" s="1851" t="s">
        <v>2685</v>
      </c>
      <c r="E32" s="1851" t="s">
        <v>2686</v>
      </c>
      <c r="F32" s="1851" t="s">
        <v>2625</v>
      </c>
      <c r="G32" s="1851" t="s">
        <v>22</v>
      </c>
      <c r="H32" s="1851" t="s">
        <v>22</v>
      </c>
      <c r="I32" s="1851" t="s">
        <v>1008</v>
      </c>
    </row>
    <row customHeight="1" ht="11.25">
      <c r="A33" s="1851" t="s">
        <v>2569</v>
      </c>
      <c r="B33" s="1851" t="s">
        <v>16</v>
      </c>
      <c r="C33" s="1851" t="s">
        <v>2687</v>
      </c>
      <c r="D33" s="1851" t="s">
        <v>2688</v>
      </c>
      <c r="E33" s="1851" t="s">
        <v>2689</v>
      </c>
      <c r="F33" s="1851" t="s">
        <v>2613</v>
      </c>
      <c r="G33" s="1851" t="s">
        <v>22</v>
      </c>
      <c r="H33" s="1851" t="s">
        <v>2690</v>
      </c>
      <c r="I33" s="1851" t="s">
        <v>1008</v>
      </c>
    </row>
    <row customHeight="1" ht="11.25">
      <c r="A34" s="1851" t="s">
        <v>2569</v>
      </c>
      <c r="B34" s="1851" t="s">
        <v>16</v>
      </c>
      <c r="C34" s="1851" t="s">
        <v>2691</v>
      </c>
      <c r="D34" s="1851" t="s">
        <v>2692</v>
      </c>
      <c r="E34" s="1851" t="s">
        <v>2693</v>
      </c>
      <c r="F34" s="1851" t="s">
        <v>713</v>
      </c>
      <c r="G34" s="1851" t="s">
        <v>2694</v>
      </c>
      <c r="H34" s="1851" t="s">
        <v>22</v>
      </c>
      <c r="I34" s="1851" t="s">
        <v>1008</v>
      </c>
    </row>
    <row customHeight="1" ht="11.25">
      <c r="A35" s="1851" t="s">
        <v>2569</v>
      </c>
      <c r="B35" s="1851" t="s">
        <v>16</v>
      </c>
      <c r="C35" s="1851" t="s">
        <v>2695</v>
      </c>
      <c r="D35" s="1851" t="s">
        <v>2696</v>
      </c>
      <c r="E35" s="1851" t="s">
        <v>2697</v>
      </c>
      <c r="F35" s="1851" t="s">
        <v>2613</v>
      </c>
      <c r="G35" s="1851" t="s">
        <v>22</v>
      </c>
      <c r="H35" s="1851" t="s">
        <v>22</v>
      </c>
      <c r="I35" s="1851" t="s">
        <v>1008</v>
      </c>
    </row>
    <row customHeight="1" ht="11.25">
      <c r="A36" s="1851" t="s">
        <v>2569</v>
      </c>
      <c r="B36" s="1851" t="s">
        <v>16</v>
      </c>
      <c r="C36" s="1851" t="s">
        <v>2698</v>
      </c>
      <c r="D36" s="1851" t="s">
        <v>2699</v>
      </c>
      <c r="E36" s="1851" t="s">
        <v>2700</v>
      </c>
      <c r="F36" s="1851" t="s">
        <v>2701</v>
      </c>
      <c r="G36" s="1851" t="s">
        <v>2702</v>
      </c>
      <c r="H36" s="1851" t="s">
        <v>22</v>
      </c>
      <c r="I36" s="1851" t="s">
        <v>1008</v>
      </c>
    </row>
    <row customHeight="1" ht="11.25">
      <c r="A37" s="1851" t="s">
        <v>2569</v>
      </c>
      <c r="B37" s="1851" t="s">
        <v>16</v>
      </c>
      <c r="C37" s="1851" t="s">
        <v>2703</v>
      </c>
      <c r="D37" s="1851" t="s">
        <v>2704</v>
      </c>
      <c r="E37" s="1851" t="s">
        <v>2705</v>
      </c>
      <c r="F37" s="1851" t="s">
        <v>2679</v>
      </c>
      <c r="G37" s="1851" t="s">
        <v>22</v>
      </c>
      <c r="H37" s="1851" t="s">
        <v>22</v>
      </c>
      <c r="I37" s="1851" t="s">
        <v>1008</v>
      </c>
    </row>
    <row customHeight="1" ht="11.25">
      <c r="A38" s="1851" t="s">
        <v>2569</v>
      </c>
      <c r="B38" s="1851" t="s">
        <v>16</v>
      </c>
      <c r="C38" s="1851" t="s">
        <v>2706</v>
      </c>
      <c r="D38" s="1851" t="s">
        <v>2707</v>
      </c>
      <c r="E38" s="1851" t="s">
        <v>2708</v>
      </c>
      <c r="F38" s="1851" t="s">
        <v>2709</v>
      </c>
      <c r="G38" s="1851" t="s">
        <v>22</v>
      </c>
      <c r="H38" s="1851" t="s">
        <v>22</v>
      </c>
      <c r="I38" s="1851" t="s">
        <v>1008</v>
      </c>
    </row>
    <row customHeight="1" ht="11.25">
      <c r="A39" s="1851" t="s">
        <v>2569</v>
      </c>
      <c r="B39" s="1851" t="s">
        <v>16</v>
      </c>
      <c r="C39" s="1851" t="s">
        <v>2710</v>
      </c>
      <c r="D39" s="1851" t="s">
        <v>2711</v>
      </c>
      <c r="E39" s="1851" t="s">
        <v>2712</v>
      </c>
      <c r="F39" s="1851" t="s">
        <v>2679</v>
      </c>
      <c r="G39" s="1851" t="s">
        <v>22</v>
      </c>
      <c r="H39" s="1851" t="s">
        <v>22</v>
      </c>
      <c r="I39" s="1851" t="s">
        <v>1008</v>
      </c>
    </row>
    <row customHeight="1" ht="11.25">
      <c r="A40" s="1851" t="s">
        <v>2569</v>
      </c>
      <c r="B40" s="1851" t="s">
        <v>16</v>
      </c>
      <c r="C40" s="1851" t="s">
        <v>2713</v>
      </c>
      <c r="D40" s="1851" t="s">
        <v>2714</v>
      </c>
      <c r="E40" s="1851" t="s">
        <v>2715</v>
      </c>
      <c r="F40" s="1851" t="s">
        <v>2613</v>
      </c>
      <c r="G40" s="1851" t="s">
        <v>22</v>
      </c>
      <c r="H40" s="1851" t="s">
        <v>22</v>
      </c>
      <c r="I40" s="1851" t="s">
        <v>1008</v>
      </c>
    </row>
    <row customHeight="1" ht="11.25">
      <c r="A41" s="1851" t="s">
        <v>2569</v>
      </c>
      <c r="B41" s="1851" t="s">
        <v>16</v>
      </c>
      <c r="C41" s="1851" t="s">
        <v>2716</v>
      </c>
      <c r="D41" s="1851" t="s">
        <v>2717</v>
      </c>
      <c r="E41" s="1851" t="s">
        <v>2718</v>
      </c>
      <c r="F41" s="1851" t="s">
        <v>50</v>
      </c>
      <c r="G41" s="1851" t="s">
        <v>22</v>
      </c>
      <c r="H41" s="1851" t="s">
        <v>22</v>
      </c>
      <c r="I41" s="1851" t="s">
        <v>1008</v>
      </c>
    </row>
    <row customHeight="1" ht="11.25">
      <c r="A42" s="1851" t="s">
        <v>2569</v>
      </c>
      <c r="B42" s="1851" t="s">
        <v>16</v>
      </c>
      <c r="C42" s="1851" t="s">
        <v>13</v>
      </c>
      <c r="D42" s="1851" t="s">
        <v>45</v>
      </c>
      <c r="E42" s="1851" t="s">
        <v>48</v>
      </c>
      <c r="F42" s="1851" t="s">
        <v>50</v>
      </c>
      <c r="G42" s="1851" t="s">
        <v>22</v>
      </c>
      <c r="H42" s="1851" t="s">
        <v>22</v>
      </c>
      <c r="I42" s="1851" t="s">
        <v>1008</v>
      </c>
    </row>
    <row customHeight="1" ht="11.25">
      <c r="A43" s="1851" t="s">
        <v>2569</v>
      </c>
      <c r="B43" s="1851" t="s">
        <v>16</v>
      </c>
      <c r="C43" s="1851" t="s">
        <v>2719</v>
      </c>
      <c r="D43" s="1851" t="s">
        <v>2720</v>
      </c>
      <c r="E43" s="1851" t="s">
        <v>2721</v>
      </c>
      <c r="F43" s="1851" t="s">
        <v>2580</v>
      </c>
      <c r="G43" s="1851" t="s">
        <v>2722</v>
      </c>
      <c r="H43" s="1851" t="s">
        <v>22</v>
      </c>
      <c r="I43" s="1851" t="s">
        <v>1008</v>
      </c>
    </row>
    <row customHeight="1" ht="11.25">
      <c r="A44" s="1851" t="s">
        <v>2569</v>
      </c>
      <c r="B44" s="1851" t="s">
        <v>16</v>
      </c>
      <c r="C44" s="1851" t="s">
        <v>2723</v>
      </c>
      <c r="D44" s="1851" t="s">
        <v>2724</v>
      </c>
      <c r="E44" s="1851" t="s">
        <v>2725</v>
      </c>
      <c r="F44" s="1851" t="s">
        <v>2726</v>
      </c>
      <c r="G44" s="1851" t="s">
        <v>22</v>
      </c>
      <c r="H44" s="1851" t="s">
        <v>22</v>
      </c>
      <c r="I44" s="1851" t="s">
        <v>1008</v>
      </c>
    </row>
    <row customHeight="1" ht="11.25">
      <c r="A45" s="1851" t="s">
        <v>2569</v>
      </c>
      <c r="B45" s="1851" t="s">
        <v>16</v>
      </c>
      <c r="C45" s="1851" t="s">
        <v>2727</v>
      </c>
      <c r="D45" s="1851" t="s">
        <v>2728</v>
      </c>
      <c r="E45" s="1851" t="s">
        <v>2729</v>
      </c>
      <c r="F45" s="1851" t="s">
        <v>2601</v>
      </c>
      <c r="G45" s="1851" t="s">
        <v>22</v>
      </c>
      <c r="H45" s="1851" t="s">
        <v>22</v>
      </c>
      <c r="I45" s="1851" t="s">
        <v>1008</v>
      </c>
    </row>
    <row customHeight="1" ht="11.25">
      <c r="A46" s="1851" t="s">
        <v>2569</v>
      </c>
      <c r="B46" s="1851" t="s">
        <v>16</v>
      </c>
      <c r="C46" s="1851" t="s">
        <v>2730</v>
      </c>
      <c r="D46" s="1851" t="s">
        <v>2731</v>
      </c>
      <c r="E46" s="1851" t="s">
        <v>2732</v>
      </c>
      <c r="F46" s="1851" t="s">
        <v>2733</v>
      </c>
      <c r="G46" s="1851" t="s">
        <v>22</v>
      </c>
      <c r="H46" s="1851" t="s">
        <v>22</v>
      </c>
      <c r="I46" s="1851" t="s">
        <v>1008</v>
      </c>
    </row>
    <row customHeight="1" ht="11.25">
      <c r="A47" s="1851" t="s">
        <v>2569</v>
      </c>
      <c r="B47" s="1851" t="s">
        <v>16</v>
      </c>
      <c r="C47" s="1851" t="s">
        <v>2734</v>
      </c>
      <c r="D47" s="1851" t="s">
        <v>2735</v>
      </c>
      <c r="E47" s="1851" t="s">
        <v>2736</v>
      </c>
      <c r="F47" s="1851" t="s">
        <v>2609</v>
      </c>
      <c r="G47" s="1851" t="s">
        <v>22</v>
      </c>
      <c r="H47" s="1851" t="s">
        <v>22</v>
      </c>
      <c r="I47" s="1851" t="s">
        <v>1008</v>
      </c>
    </row>
    <row customHeight="1" ht="11.25">
      <c r="A48" s="1851" t="s">
        <v>2569</v>
      </c>
      <c r="B48" s="1851" t="s">
        <v>16</v>
      </c>
      <c r="C48" s="1851" t="s">
        <v>2737</v>
      </c>
      <c r="D48" s="1851" t="s">
        <v>2738</v>
      </c>
      <c r="E48" s="1851" t="s">
        <v>2739</v>
      </c>
      <c r="F48" s="1851" t="s">
        <v>2609</v>
      </c>
      <c r="G48" s="1851" t="s">
        <v>22</v>
      </c>
      <c r="H48" s="1851" t="s">
        <v>22</v>
      </c>
      <c r="I48" s="1851" t="s">
        <v>1008</v>
      </c>
    </row>
    <row customHeight="1" ht="11.25">
      <c r="A49" s="1851" t="s">
        <v>2569</v>
      </c>
      <c r="B49" s="1851" t="s">
        <v>16</v>
      </c>
      <c r="C49" s="1851" t="s">
        <v>2740</v>
      </c>
      <c r="D49" s="1851" t="s">
        <v>2741</v>
      </c>
      <c r="E49" s="1851" t="s">
        <v>2742</v>
      </c>
      <c r="F49" s="1851" t="s">
        <v>2743</v>
      </c>
      <c r="G49" s="1851" t="s">
        <v>22</v>
      </c>
      <c r="H49" s="1851" t="s">
        <v>22</v>
      </c>
      <c r="I49" s="1851" t="s">
        <v>1008</v>
      </c>
    </row>
    <row customHeight="1" ht="11.25">
      <c r="A50" s="1851" t="s">
        <v>2569</v>
      </c>
      <c r="B50" s="1851" t="s">
        <v>16</v>
      </c>
      <c r="C50" s="1851" t="s">
        <v>2744</v>
      </c>
      <c r="D50" s="1851" t="s">
        <v>2745</v>
      </c>
      <c r="E50" s="1851" t="s">
        <v>2746</v>
      </c>
      <c r="F50" s="1851" t="s">
        <v>2613</v>
      </c>
      <c r="G50" s="1851" t="s">
        <v>22</v>
      </c>
      <c r="H50" s="1851" t="s">
        <v>22</v>
      </c>
      <c r="I50" s="1851" t="s">
        <v>1008</v>
      </c>
    </row>
    <row customHeight="1" ht="11.25">
      <c r="A51" s="1851" t="s">
        <v>2569</v>
      </c>
      <c r="B51" s="1851" t="s">
        <v>16</v>
      </c>
      <c r="C51" s="1851" t="s">
        <v>2747</v>
      </c>
      <c r="D51" s="1851" t="s">
        <v>2748</v>
      </c>
      <c r="E51" s="1851" t="s">
        <v>2749</v>
      </c>
      <c r="F51" s="1851" t="s">
        <v>2733</v>
      </c>
      <c r="G51" s="1851" t="s">
        <v>22</v>
      </c>
      <c r="H51" s="1851" t="s">
        <v>22</v>
      </c>
      <c r="I51" s="1851" t="s">
        <v>1008</v>
      </c>
    </row>
    <row customHeight="1" ht="11.25">
      <c r="A52" s="1851" t="s">
        <v>2569</v>
      </c>
      <c r="B52" s="1851" t="s">
        <v>16</v>
      </c>
      <c r="C52" s="1851" t="s">
        <v>2750</v>
      </c>
      <c r="D52" s="1851" t="s">
        <v>2751</v>
      </c>
      <c r="E52" s="1851" t="s">
        <v>2752</v>
      </c>
      <c r="F52" s="1851" t="s">
        <v>2753</v>
      </c>
      <c r="G52" s="1851" t="s">
        <v>22</v>
      </c>
      <c r="H52" s="1851" t="s">
        <v>22</v>
      </c>
      <c r="I52" s="1851" t="s">
        <v>1008</v>
      </c>
    </row>
    <row customHeight="1" ht="11.25">
      <c r="A53" s="1851" t="s">
        <v>2569</v>
      </c>
      <c r="B53" s="1851" t="s">
        <v>16</v>
      </c>
      <c r="C53" s="1851" t="s">
        <v>2754</v>
      </c>
      <c r="D53" s="1851" t="s">
        <v>2755</v>
      </c>
      <c r="E53" s="1851" t="s">
        <v>2756</v>
      </c>
      <c r="F53" s="1851" t="s">
        <v>50</v>
      </c>
      <c r="G53" s="1851" t="s">
        <v>22</v>
      </c>
      <c r="H53" s="1851" t="s">
        <v>22</v>
      </c>
      <c r="I53" s="1851" t="s">
        <v>1008</v>
      </c>
    </row>
    <row customHeight="1" ht="11.25">
      <c r="A54" s="1851" t="s">
        <v>2569</v>
      </c>
      <c r="B54" s="1851" t="s">
        <v>16</v>
      </c>
      <c r="C54" s="1851" t="s">
        <v>2757</v>
      </c>
      <c r="D54" s="1851" t="s">
        <v>2758</v>
      </c>
      <c r="E54" s="1851" t="s">
        <v>2759</v>
      </c>
      <c r="F54" s="1851" t="s">
        <v>2760</v>
      </c>
      <c r="G54" s="1851" t="s">
        <v>22</v>
      </c>
      <c r="H54" s="1851" t="s">
        <v>22</v>
      </c>
      <c r="I54" s="1851" t="s">
        <v>1008</v>
      </c>
    </row>
    <row customHeight="1" ht="11.25">
      <c r="A55" s="1851" t="s">
        <v>2569</v>
      </c>
      <c r="B55" s="1851" t="s">
        <v>16</v>
      </c>
      <c r="C55" s="1851" t="s">
        <v>2761</v>
      </c>
      <c r="D55" s="1851" t="s">
        <v>2762</v>
      </c>
      <c r="E55" s="1851" t="s">
        <v>2763</v>
      </c>
      <c r="F55" s="1851" t="s">
        <v>2625</v>
      </c>
      <c r="G55" s="1851" t="s">
        <v>22</v>
      </c>
      <c r="H55" s="1851" t="s">
        <v>22</v>
      </c>
      <c r="I55" s="1851" t="s">
        <v>1008</v>
      </c>
    </row>
    <row customHeight="1" ht="11.25">
      <c r="A56" s="1851" t="s">
        <v>2569</v>
      </c>
      <c r="B56" s="1851" t="s">
        <v>16</v>
      </c>
      <c r="C56" s="1851" t="s">
        <v>2764</v>
      </c>
      <c r="D56" s="1851" t="s">
        <v>2765</v>
      </c>
      <c r="E56" s="1851" t="s">
        <v>2766</v>
      </c>
      <c r="F56" s="1851" t="s">
        <v>2767</v>
      </c>
      <c r="G56" s="1851" t="s">
        <v>22</v>
      </c>
      <c r="H56" s="1851" t="s">
        <v>22</v>
      </c>
      <c r="I56" s="1851" t="s">
        <v>1008</v>
      </c>
    </row>
    <row customHeight="1" ht="11.25">
      <c r="A57" s="1851" t="s">
        <v>2569</v>
      </c>
      <c r="B57" s="1851" t="s">
        <v>16</v>
      </c>
      <c r="C57" s="1851" t="s">
        <v>2768</v>
      </c>
      <c r="D57" s="1851" t="s">
        <v>2769</v>
      </c>
      <c r="E57" s="1851" t="s">
        <v>2587</v>
      </c>
      <c r="F57" s="1851" t="s">
        <v>2770</v>
      </c>
      <c r="G57" s="1851" t="s">
        <v>22</v>
      </c>
      <c r="H57" s="1851" t="s">
        <v>22</v>
      </c>
      <c r="I57" s="1851" t="s">
        <v>1008</v>
      </c>
    </row>
    <row customHeight="1" ht="11.25">
      <c r="A58" s="1851" t="s">
        <v>2569</v>
      </c>
      <c r="B58" s="1851" t="s">
        <v>16</v>
      </c>
      <c r="C58" s="1851" t="s">
        <v>2771</v>
      </c>
      <c r="D58" s="1851" t="s">
        <v>2772</v>
      </c>
      <c r="E58" s="1851" t="s">
        <v>2773</v>
      </c>
      <c r="F58" s="1851" t="s">
        <v>2774</v>
      </c>
      <c r="G58" s="1851" t="s">
        <v>22</v>
      </c>
      <c r="H58" s="1851" t="s">
        <v>22</v>
      </c>
      <c r="I58" s="1851" t="s">
        <v>1008</v>
      </c>
    </row>
    <row customHeight="1" ht="11.25">
      <c r="A59" s="1851" t="s">
        <v>2569</v>
      </c>
      <c r="B59" s="1851" t="s">
        <v>16</v>
      </c>
      <c r="C59" s="1851" t="s">
        <v>2775</v>
      </c>
      <c r="D59" s="1851" t="s">
        <v>2776</v>
      </c>
      <c r="E59" s="1851" t="s">
        <v>2777</v>
      </c>
      <c r="F59" s="1851" t="s">
        <v>2774</v>
      </c>
      <c r="G59" s="1851" t="s">
        <v>22</v>
      </c>
      <c r="H59" s="1851" t="s">
        <v>22</v>
      </c>
      <c r="I59" s="1851" t="s">
        <v>1008</v>
      </c>
    </row>
    <row customHeight="1" ht="11.25">
      <c r="A60" s="1851" t="s">
        <v>2569</v>
      </c>
      <c r="B60" s="1851" t="s">
        <v>16</v>
      </c>
      <c r="C60" s="1851" t="s">
        <v>2778</v>
      </c>
      <c r="D60" s="1851" t="s">
        <v>2779</v>
      </c>
      <c r="E60" s="1851" t="s">
        <v>2671</v>
      </c>
      <c r="F60" s="1851" t="s">
        <v>2780</v>
      </c>
      <c r="G60" s="1851" t="s">
        <v>22</v>
      </c>
      <c r="H60" s="1851" t="s">
        <v>22</v>
      </c>
      <c r="I60" s="1851" t="s">
        <v>1008</v>
      </c>
    </row>
    <row customHeight="1" ht="11.25">
      <c r="A61" s="1851" t="s">
        <v>2569</v>
      </c>
      <c r="B61" s="1851" t="s">
        <v>16</v>
      </c>
      <c r="C61" s="1851" t="s">
        <v>2781</v>
      </c>
      <c r="D61" s="1851" t="s">
        <v>2782</v>
      </c>
      <c r="E61" s="1851" t="s">
        <v>2783</v>
      </c>
      <c r="F61" s="1851" t="s">
        <v>2609</v>
      </c>
      <c r="G61" s="1851" t="s">
        <v>22</v>
      </c>
      <c r="H61" s="1851" t="s">
        <v>22</v>
      </c>
      <c r="I61" s="1851" t="s">
        <v>1008</v>
      </c>
    </row>
    <row customHeight="1" ht="11.25">
      <c r="A62" s="1851" t="s">
        <v>2569</v>
      </c>
      <c r="B62" s="1851" t="s">
        <v>16</v>
      </c>
      <c r="C62" s="1851" t="s">
        <v>2784</v>
      </c>
      <c r="D62" s="1851" t="s">
        <v>2785</v>
      </c>
      <c r="E62" s="1851" t="s">
        <v>2786</v>
      </c>
      <c r="F62" s="1851" t="s">
        <v>2590</v>
      </c>
      <c r="G62" s="1851" t="s">
        <v>22</v>
      </c>
      <c r="H62" s="1851" t="s">
        <v>22</v>
      </c>
      <c r="I62" s="1851" t="s">
        <v>1008</v>
      </c>
    </row>
    <row customHeight="1" ht="11.25">
      <c r="A63" s="1851" t="s">
        <v>2569</v>
      </c>
      <c r="B63" s="1851" t="s">
        <v>16</v>
      </c>
      <c r="C63" s="1851" t="s">
        <v>2787</v>
      </c>
      <c r="D63" s="1851" t="s">
        <v>2788</v>
      </c>
      <c r="E63" s="1851" t="s">
        <v>2789</v>
      </c>
      <c r="F63" s="1851" t="s">
        <v>2625</v>
      </c>
      <c r="G63" s="1851" t="s">
        <v>22</v>
      </c>
      <c r="H63" s="1851" t="s">
        <v>22</v>
      </c>
      <c r="I63" s="1851" t="s">
        <v>1008</v>
      </c>
    </row>
    <row customHeight="1" ht="11.25">
      <c r="A64" s="1851" t="s">
        <v>2569</v>
      </c>
      <c r="B64" s="1851" t="s">
        <v>16</v>
      </c>
      <c r="C64" s="1851" t="s">
        <v>2790</v>
      </c>
      <c r="D64" s="1851" t="s">
        <v>2791</v>
      </c>
      <c r="E64" s="1851" t="s">
        <v>2792</v>
      </c>
      <c r="F64" s="1851" t="s">
        <v>2576</v>
      </c>
      <c r="G64" s="1851" t="s">
        <v>22</v>
      </c>
      <c r="H64" s="1851" t="s">
        <v>22</v>
      </c>
      <c r="I64" s="1851" t="s">
        <v>1008</v>
      </c>
    </row>
    <row customHeight="1" ht="11.25">
      <c r="A65" s="1851" t="s">
        <v>2569</v>
      </c>
      <c r="B65" s="1851" t="s">
        <v>16</v>
      </c>
      <c r="C65" s="1851" t="s">
        <v>2793</v>
      </c>
      <c r="D65" s="1851" t="s">
        <v>2794</v>
      </c>
      <c r="E65" s="1851" t="s">
        <v>2795</v>
      </c>
      <c r="F65" s="1851" t="s">
        <v>50</v>
      </c>
      <c r="G65" s="1851" t="s">
        <v>22</v>
      </c>
      <c r="H65" s="1851" t="s">
        <v>22</v>
      </c>
      <c r="I65" s="1851" t="s">
        <v>1008</v>
      </c>
    </row>
    <row customHeight="1" ht="11.25">
      <c r="A66" s="1851" t="s">
        <v>2569</v>
      </c>
      <c r="B66" s="1851" t="s">
        <v>16</v>
      </c>
      <c r="C66" s="1851" t="s">
        <v>2796</v>
      </c>
      <c r="D66" s="1851" t="s">
        <v>2797</v>
      </c>
      <c r="E66" s="1851" t="s">
        <v>2798</v>
      </c>
      <c r="F66" s="1851" t="s">
        <v>2799</v>
      </c>
      <c r="G66" s="1851" t="s">
        <v>2800</v>
      </c>
      <c r="H66" s="1851" t="s">
        <v>22</v>
      </c>
      <c r="I66" s="1851" t="s">
        <v>1008</v>
      </c>
    </row>
    <row customHeight="1" ht="11.25">
      <c r="A67" s="1851" t="s">
        <v>2569</v>
      </c>
      <c r="B67" s="1851" t="s">
        <v>16</v>
      </c>
      <c r="C67" s="1851" t="s">
        <v>2801</v>
      </c>
      <c r="D67" s="1851" t="s">
        <v>2802</v>
      </c>
      <c r="E67" s="1851" t="s">
        <v>2803</v>
      </c>
      <c r="F67" s="1851" t="s">
        <v>2576</v>
      </c>
      <c r="G67" s="1851" t="s">
        <v>2804</v>
      </c>
      <c r="H67" s="1851" t="s">
        <v>22</v>
      </c>
      <c r="I67" s="1851" t="s">
        <v>1008</v>
      </c>
    </row>
    <row customHeight="1" ht="11.25">
      <c r="A68" s="1851" t="s">
        <v>2569</v>
      </c>
      <c r="B68" s="1851" t="s">
        <v>16</v>
      </c>
      <c r="C68" s="1851" t="s">
        <v>2805</v>
      </c>
      <c r="D68" s="1851" t="s">
        <v>2806</v>
      </c>
      <c r="E68" s="1851" t="s">
        <v>2807</v>
      </c>
      <c r="F68" s="1851" t="s">
        <v>2576</v>
      </c>
      <c r="G68" s="1851" t="s">
        <v>2808</v>
      </c>
      <c r="H68" s="1851" t="s">
        <v>22</v>
      </c>
      <c r="I68" s="1851" t="s">
        <v>1008</v>
      </c>
    </row>
    <row customHeight="1" ht="11.25">
      <c r="A69" s="1851" t="s">
        <v>2569</v>
      </c>
      <c r="B69" s="1851" t="s">
        <v>16</v>
      </c>
      <c r="C69" s="1851" t="s">
        <v>2809</v>
      </c>
      <c r="D69" s="1851" t="s">
        <v>2810</v>
      </c>
      <c r="E69" s="1851" t="s">
        <v>2811</v>
      </c>
      <c r="F69" s="1851" t="s">
        <v>2812</v>
      </c>
      <c r="G69" s="1851" t="s">
        <v>22</v>
      </c>
      <c r="H69" s="1851" t="s">
        <v>22</v>
      </c>
      <c r="I69" s="1851" t="s">
        <v>1008</v>
      </c>
    </row>
    <row customHeight="1" ht="11.25">
      <c r="A70" s="1851" t="s">
        <v>2569</v>
      </c>
      <c r="B70" s="1851" t="s">
        <v>16</v>
      </c>
      <c r="C70" s="1851" t="s">
        <v>2813</v>
      </c>
      <c r="D70" s="1851" t="s">
        <v>2814</v>
      </c>
      <c r="E70" s="1851" t="s">
        <v>2815</v>
      </c>
      <c r="F70" s="1851" t="s">
        <v>2799</v>
      </c>
      <c r="G70" s="1851" t="s">
        <v>22</v>
      </c>
      <c r="H70" s="1851" t="s">
        <v>22</v>
      </c>
      <c r="I70" s="1851" t="s">
        <v>1008</v>
      </c>
    </row>
    <row customHeight="1" ht="11.25">
      <c r="A71" s="1851" t="s">
        <v>2569</v>
      </c>
      <c r="B71" s="1851" t="s">
        <v>16</v>
      </c>
      <c r="C71" s="1851" t="s">
        <v>2816</v>
      </c>
      <c r="D71" s="1851" t="s">
        <v>2817</v>
      </c>
      <c r="E71" s="1851" t="s">
        <v>2818</v>
      </c>
      <c r="F71" s="1851" t="s">
        <v>2625</v>
      </c>
      <c r="G71" s="1851" t="s">
        <v>22</v>
      </c>
      <c r="H71" s="1851" t="s">
        <v>22</v>
      </c>
      <c r="I71" s="1851" t="s">
        <v>1008</v>
      </c>
    </row>
    <row customHeight="1" ht="11.25">
      <c r="A72" s="1851" t="s">
        <v>2569</v>
      </c>
      <c r="B72" s="1851" t="s">
        <v>16</v>
      </c>
      <c r="C72" s="1851" t="s">
        <v>2819</v>
      </c>
      <c r="D72" s="1851" t="s">
        <v>2820</v>
      </c>
      <c r="E72" s="1851" t="s">
        <v>2821</v>
      </c>
      <c r="F72" s="1851" t="s">
        <v>2799</v>
      </c>
      <c r="G72" s="1851" t="s">
        <v>22</v>
      </c>
      <c r="H72" s="1851" t="s">
        <v>22</v>
      </c>
      <c r="I72" s="1851" t="s">
        <v>1008</v>
      </c>
    </row>
    <row customHeight="1" ht="11.25">
      <c r="A73" s="1851" t="s">
        <v>2569</v>
      </c>
      <c r="B73" s="1851" t="s">
        <v>16</v>
      </c>
      <c r="C73" s="1851" t="s">
        <v>2822</v>
      </c>
      <c r="D73" s="1851" t="s">
        <v>2823</v>
      </c>
      <c r="E73" s="1851" t="s">
        <v>2824</v>
      </c>
      <c r="F73" s="1851" t="s">
        <v>2709</v>
      </c>
      <c r="G73" s="1851" t="s">
        <v>2825</v>
      </c>
      <c r="H73" s="1851" t="s">
        <v>22</v>
      </c>
      <c r="I73" s="1851" t="s">
        <v>1008</v>
      </c>
    </row>
    <row customHeight="1" ht="11.25">
      <c r="A74" s="1851" t="s">
        <v>2569</v>
      </c>
      <c r="B74" s="1851" t="s">
        <v>16</v>
      </c>
      <c r="C74" s="1851" t="s">
        <v>2826</v>
      </c>
      <c r="D74" s="1851" t="s">
        <v>2827</v>
      </c>
      <c r="E74" s="1851" t="s">
        <v>2828</v>
      </c>
      <c r="F74" s="1851" t="s">
        <v>2829</v>
      </c>
      <c r="G74" s="1851" t="s">
        <v>2830</v>
      </c>
      <c r="H74" s="1851" t="s">
        <v>22</v>
      </c>
      <c r="I74" s="1851" t="s">
        <v>1008</v>
      </c>
    </row>
    <row customHeight="1" ht="11.25">
      <c r="A75" s="1851" t="s">
        <v>2569</v>
      </c>
      <c r="B75" s="1851" t="s">
        <v>16</v>
      </c>
      <c r="C75" s="1851" t="s">
        <v>2831</v>
      </c>
      <c r="D75" s="1851" t="s">
        <v>2832</v>
      </c>
      <c r="E75" s="1851" t="s">
        <v>2833</v>
      </c>
      <c r="F75" s="1851" t="s">
        <v>2799</v>
      </c>
      <c r="G75" s="1851" t="s">
        <v>22</v>
      </c>
      <c r="H75" s="1851" t="s">
        <v>22</v>
      </c>
      <c r="I75" s="1851" t="s">
        <v>1008</v>
      </c>
    </row>
    <row customHeight="1" ht="11.25">
      <c r="A76" s="1851" t="s">
        <v>2569</v>
      </c>
      <c r="B76" s="1851" t="s">
        <v>16</v>
      </c>
      <c r="C76" s="1851" t="s">
        <v>2834</v>
      </c>
      <c r="D76" s="1851" t="s">
        <v>2835</v>
      </c>
      <c r="E76" s="1851" t="s">
        <v>2836</v>
      </c>
      <c r="F76" s="1851" t="s">
        <v>2799</v>
      </c>
      <c r="G76" s="1851" t="s">
        <v>22</v>
      </c>
      <c r="H76" s="1851" t="s">
        <v>22</v>
      </c>
      <c r="I76" s="1851" t="s">
        <v>1008</v>
      </c>
    </row>
    <row customHeight="1" ht="11.25">
      <c r="A77" s="1851" t="s">
        <v>2569</v>
      </c>
      <c r="B77" s="1851" t="s">
        <v>16</v>
      </c>
      <c r="C77" s="1851" t="s">
        <v>2837</v>
      </c>
      <c r="D77" s="1851" t="s">
        <v>2838</v>
      </c>
      <c r="E77" s="1851" t="s">
        <v>2839</v>
      </c>
      <c r="F77" s="1851" t="s">
        <v>2840</v>
      </c>
      <c r="G77" s="1851" t="s">
        <v>22</v>
      </c>
      <c r="H77" s="1851" t="s">
        <v>22</v>
      </c>
      <c r="I77" s="1851" t="s">
        <v>1008</v>
      </c>
    </row>
    <row customHeight="1" ht="11.25">
      <c r="A78" s="1851" t="s">
        <v>2569</v>
      </c>
      <c r="B78" s="1851" t="s">
        <v>16</v>
      </c>
      <c r="C78" s="1851" t="s">
        <v>2841</v>
      </c>
      <c r="D78" s="1851" t="s">
        <v>2842</v>
      </c>
      <c r="E78" s="1851" t="s">
        <v>2843</v>
      </c>
      <c r="F78" s="1851" t="s">
        <v>2572</v>
      </c>
      <c r="G78" s="1851" t="s">
        <v>22</v>
      </c>
      <c r="H78" s="1851" t="s">
        <v>22</v>
      </c>
      <c r="I78" s="1851" t="s">
        <v>1008</v>
      </c>
    </row>
    <row customHeight="1" ht="11.25">
      <c r="A79" s="1851" t="s">
        <v>2569</v>
      </c>
      <c r="B79" s="1851" t="s">
        <v>16</v>
      </c>
      <c r="C79" s="1851" t="s">
        <v>2844</v>
      </c>
      <c r="D79" s="1851" t="s">
        <v>2845</v>
      </c>
      <c r="E79" s="1851" t="s">
        <v>2846</v>
      </c>
      <c r="F79" s="1851" t="s">
        <v>2613</v>
      </c>
      <c r="G79" s="1851" t="s">
        <v>22</v>
      </c>
      <c r="H79" s="1851" t="s">
        <v>22</v>
      </c>
      <c r="I79" s="1851" t="s">
        <v>1008</v>
      </c>
    </row>
    <row customHeight="1" ht="11.25">
      <c r="A80" s="1851" t="s">
        <v>2569</v>
      </c>
      <c r="B80" s="1851" t="s">
        <v>16</v>
      </c>
      <c r="C80" s="1851" t="s">
        <v>2847</v>
      </c>
      <c r="D80" s="1851" t="s">
        <v>2848</v>
      </c>
      <c r="E80" s="1851" t="s">
        <v>2849</v>
      </c>
      <c r="F80" s="1851" t="s">
        <v>2576</v>
      </c>
      <c r="G80" s="1851" t="s">
        <v>22</v>
      </c>
      <c r="H80" s="1851" t="s">
        <v>22</v>
      </c>
      <c r="I80" s="1851" t="s">
        <v>1008</v>
      </c>
    </row>
    <row customHeight="1" ht="11.25">
      <c r="A81" s="1851" t="s">
        <v>2569</v>
      </c>
      <c r="B81" s="1851" t="s">
        <v>16</v>
      </c>
      <c r="C81" s="1851" t="s">
        <v>2850</v>
      </c>
      <c r="D81" s="1851" t="s">
        <v>2851</v>
      </c>
      <c r="E81" s="1851" t="s">
        <v>2852</v>
      </c>
      <c r="F81" s="1851" t="s">
        <v>2853</v>
      </c>
      <c r="G81" s="1851" t="s">
        <v>2854</v>
      </c>
      <c r="H81" s="1851" t="s">
        <v>22</v>
      </c>
      <c r="I81" s="1851" t="s">
        <v>1008</v>
      </c>
    </row>
    <row customHeight="1" ht="11.25">
      <c r="A82" s="1851" t="s">
        <v>2569</v>
      </c>
      <c r="B82" s="1851" t="s">
        <v>16</v>
      </c>
      <c r="C82" s="1851" t="s">
        <v>2855</v>
      </c>
      <c r="D82" s="1851" t="s">
        <v>2856</v>
      </c>
      <c r="E82" s="1851" t="s">
        <v>2857</v>
      </c>
      <c r="F82" s="1851" t="s">
        <v>2601</v>
      </c>
      <c r="G82" s="1851" t="s">
        <v>2858</v>
      </c>
      <c r="H82" s="1851" t="s">
        <v>22</v>
      </c>
      <c r="I82" s="1851" t="s">
        <v>1008</v>
      </c>
    </row>
    <row customHeight="1" ht="11.25">
      <c r="A83" s="1851" t="s">
        <v>2569</v>
      </c>
      <c r="B83" s="1851" t="s">
        <v>16</v>
      </c>
      <c r="C83" s="1851" t="s">
        <v>2859</v>
      </c>
      <c r="D83" s="1851" t="s">
        <v>2860</v>
      </c>
      <c r="E83" s="1851" t="s">
        <v>2861</v>
      </c>
      <c r="F83" s="1851" t="s">
        <v>2840</v>
      </c>
      <c r="G83" s="1851" t="s">
        <v>22</v>
      </c>
      <c r="H83" s="1851" t="s">
        <v>22</v>
      </c>
      <c r="I83" s="1851" t="s">
        <v>1008</v>
      </c>
    </row>
    <row customHeight="1" ht="11.25">
      <c r="A84" s="1851" t="s">
        <v>2569</v>
      </c>
      <c r="B84" s="1851" t="s">
        <v>16</v>
      </c>
      <c r="C84" s="1851" t="s">
        <v>2862</v>
      </c>
      <c r="D84" s="1851" t="s">
        <v>2863</v>
      </c>
      <c r="E84" s="1851" t="s">
        <v>2864</v>
      </c>
      <c r="F84" s="1851" t="s">
        <v>2774</v>
      </c>
      <c r="G84" s="1851" t="s">
        <v>2865</v>
      </c>
      <c r="H84" s="1851" t="s">
        <v>22</v>
      </c>
      <c r="I84" s="1851" t="s">
        <v>1008</v>
      </c>
    </row>
    <row customHeight="1" ht="11.25">
      <c r="A85" s="1851" t="s">
        <v>2569</v>
      </c>
      <c r="B85" s="1851" t="s">
        <v>16</v>
      </c>
      <c r="C85" s="1851" t="s">
        <v>2866</v>
      </c>
      <c r="D85" s="1851" t="s">
        <v>2867</v>
      </c>
      <c r="E85" s="1851" t="s">
        <v>2868</v>
      </c>
      <c r="F85" s="1851" t="s">
        <v>2634</v>
      </c>
      <c r="G85" s="1851" t="s">
        <v>22</v>
      </c>
      <c r="H85" s="1851" t="s">
        <v>22</v>
      </c>
      <c r="I85" s="1851" t="s">
        <v>1008</v>
      </c>
    </row>
    <row customHeight="1" ht="11.25">
      <c r="A86" s="1851" t="s">
        <v>2569</v>
      </c>
      <c r="B86" s="1851" t="s">
        <v>16</v>
      </c>
      <c r="C86" s="1851" t="s">
        <v>2869</v>
      </c>
      <c r="D86" s="1851" t="s">
        <v>2870</v>
      </c>
      <c r="E86" s="1851" t="s">
        <v>2871</v>
      </c>
      <c r="F86" s="1851" t="s">
        <v>2613</v>
      </c>
      <c r="G86" s="1851" t="s">
        <v>22</v>
      </c>
      <c r="H86" s="1851" t="s">
        <v>22</v>
      </c>
      <c r="I86" s="1851" t="s">
        <v>1008</v>
      </c>
    </row>
    <row customHeight="1" ht="11.25">
      <c r="A87" s="1851" t="s">
        <v>2569</v>
      </c>
      <c r="B87" s="1851" t="s">
        <v>16</v>
      </c>
      <c r="C87" s="1851" t="s">
        <v>2872</v>
      </c>
      <c r="D87" s="1851" t="s">
        <v>2873</v>
      </c>
      <c r="E87" s="1851" t="s">
        <v>2874</v>
      </c>
      <c r="F87" s="1851" t="s">
        <v>2753</v>
      </c>
      <c r="G87" s="1851" t="s">
        <v>22</v>
      </c>
      <c r="H87" s="1851" t="s">
        <v>22</v>
      </c>
      <c r="I87" s="1851" t="s">
        <v>1008</v>
      </c>
    </row>
    <row customHeight="1" ht="11.25">
      <c r="A88" s="1851" t="s">
        <v>2569</v>
      </c>
      <c r="B88" s="1851" t="s">
        <v>16</v>
      </c>
      <c r="C88" s="1851" t="s">
        <v>2875</v>
      </c>
      <c r="D88" s="1851" t="s">
        <v>2876</v>
      </c>
      <c r="E88" s="1851" t="s">
        <v>2877</v>
      </c>
      <c r="F88" s="1851" t="s">
        <v>2576</v>
      </c>
      <c r="G88" s="1851" t="s">
        <v>22</v>
      </c>
      <c r="H88" s="1851" t="s">
        <v>22</v>
      </c>
      <c r="I88" s="1851" t="s">
        <v>1008</v>
      </c>
    </row>
    <row customHeight="1" ht="11.25">
      <c r="A89" s="1851" t="s">
        <v>2569</v>
      </c>
      <c r="B89" s="1851" t="s">
        <v>16</v>
      </c>
      <c r="C89" s="1851" t="s">
        <v>2878</v>
      </c>
      <c r="D89" s="1851" t="s">
        <v>2879</v>
      </c>
      <c r="E89" s="1851" t="s">
        <v>2880</v>
      </c>
      <c r="F89" s="1851" t="s">
        <v>2576</v>
      </c>
      <c r="G89" s="1851" t="s">
        <v>22</v>
      </c>
      <c r="H89" s="1851" t="s">
        <v>22</v>
      </c>
      <c r="I89" s="1851" t="s">
        <v>1008</v>
      </c>
    </row>
    <row customHeight="1" ht="11.25">
      <c r="A90" s="1851" t="s">
        <v>2569</v>
      </c>
      <c r="B90" s="1851" t="s">
        <v>16</v>
      </c>
      <c r="C90" s="1851" t="s">
        <v>2881</v>
      </c>
      <c r="D90" s="1851" t="s">
        <v>2882</v>
      </c>
      <c r="E90" s="1851" t="s">
        <v>2883</v>
      </c>
      <c r="F90" s="1851" t="s">
        <v>2753</v>
      </c>
      <c r="G90" s="1851" t="s">
        <v>2635</v>
      </c>
      <c r="H90" s="1851" t="s">
        <v>22</v>
      </c>
      <c r="I90" s="1851" t="s">
        <v>1008</v>
      </c>
    </row>
    <row customHeight="1" ht="11.25">
      <c r="A91" s="1851" t="s">
        <v>2569</v>
      </c>
      <c r="B91" s="1851" t="s">
        <v>16</v>
      </c>
      <c r="C91" s="1851" t="s">
        <v>2884</v>
      </c>
      <c r="D91" s="1851" t="s">
        <v>2885</v>
      </c>
      <c r="E91" s="1851" t="s">
        <v>2886</v>
      </c>
      <c r="F91" s="1851" t="s">
        <v>2887</v>
      </c>
      <c r="G91" s="1851" t="s">
        <v>22</v>
      </c>
      <c r="H91" s="1851" t="s">
        <v>22</v>
      </c>
      <c r="I91" s="1851" t="s">
        <v>1008</v>
      </c>
    </row>
    <row customHeight="1" ht="11.25">
      <c r="A92" s="1851" t="s">
        <v>2569</v>
      </c>
      <c r="B92" s="1851" t="s">
        <v>16</v>
      </c>
      <c r="C92" s="1851" t="s">
        <v>2888</v>
      </c>
      <c r="D92" s="1851" t="s">
        <v>2889</v>
      </c>
      <c r="E92" s="1851" t="s">
        <v>2890</v>
      </c>
      <c r="F92" s="1851" t="s">
        <v>2642</v>
      </c>
      <c r="G92" s="1851" t="s">
        <v>22</v>
      </c>
      <c r="H92" s="1851" t="s">
        <v>22</v>
      </c>
      <c r="I92" s="1851" t="s">
        <v>1008</v>
      </c>
    </row>
    <row customHeight="1" ht="11.25">
      <c r="A93" s="1851" t="s">
        <v>2569</v>
      </c>
      <c r="B93" s="1851" t="s">
        <v>16</v>
      </c>
      <c r="C93" s="1851" t="s">
        <v>2891</v>
      </c>
      <c r="D93" s="1851" t="s">
        <v>2892</v>
      </c>
      <c r="E93" s="1851" t="s">
        <v>2893</v>
      </c>
      <c r="F93" s="1851" t="s">
        <v>2894</v>
      </c>
      <c r="G93" s="1851" t="s">
        <v>22</v>
      </c>
      <c r="H93" s="1851" t="s">
        <v>22</v>
      </c>
      <c r="I93" s="1851" t="s">
        <v>1008</v>
      </c>
    </row>
    <row customHeight="1" ht="11.25">
      <c r="A94" s="1851" t="s">
        <v>2569</v>
      </c>
      <c r="B94" s="1851" t="s">
        <v>16</v>
      </c>
      <c r="C94" s="1851" t="s">
        <v>2895</v>
      </c>
      <c r="D94" s="1851" t="s">
        <v>2896</v>
      </c>
      <c r="E94" s="1851" t="s">
        <v>2897</v>
      </c>
      <c r="F94" s="1851" t="s">
        <v>2625</v>
      </c>
      <c r="G94" s="1851" t="s">
        <v>22</v>
      </c>
      <c r="H94" s="1851" t="s">
        <v>22</v>
      </c>
      <c r="I94" s="1851" t="s">
        <v>1008</v>
      </c>
    </row>
    <row customHeight="1" ht="11.25">
      <c r="A95" s="1851" t="s">
        <v>2569</v>
      </c>
      <c r="B95" s="1851" t="s">
        <v>16</v>
      </c>
      <c r="C95" s="1851" t="s">
        <v>2898</v>
      </c>
      <c r="D95" s="1851" t="s">
        <v>2899</v>
      </c>
      <c r="E95" s="1851" t="s">
        <v>2900</v>
      </c>
      <c r="F95" s="1851" t="s">
        <v>2576</v>
      </c>
      <c r="G95" s="1851" t="s">
        <v>22</v>
      </c>
      <c r="H95" s="1851" t="s">
        <v>22</v>
      </c>
      <c r="I95" s="1851" t="s">
        <v>1008</v>
      </c>
    </row>
    <row customHeight="1" ht="11.25">
      <c r="A96" s="1851" t="s">
        <v>2569</v>
      </c>
      <c r="B96" s="1851" t="s">
        <v>16</v>
      </c>
      <c r="C96" s="1851" t="s">
        <v>2901</v>
      </c>
      <c r="D96" s="1851" t="s">
        <v>2902</v>
      </c>
      <c r="E96" s="1851" t="s">
        <v>2903</v>
      </c>
      <c r="F96" s="1851" t="s">
        <v>2642</v>
      </c>
      <c r="G96" s="1851" t="s">
        <v>2904</v>
      </c>
      <c r="H96" s="1851" t="s">
        <v>22</v>
      </c>
      <c r="I96" s="1851" t="s">
        <v>1008</v>
      </c>
    </row>
    <row customHeight="1" ht="11.25">
      <c r="A97" s="1851" t="s">
        <v>2569</v>
      </c>
      <c r="B97" s="1851" t="s">
        <v>16</v>
      </c>
      <c r="C97" s="1851" t="s">
        <v>2905</v>
      </c>
      <c r="D97" s="1851" t="s">
        <v>2906</v>
      </c>
      <c r="E97" s="1851" t="s">
        <v>2907</v>
      </c>
      <c r="F97" s="1851" t="s">
        <v>2908</v>
      </c>
      <c r="G97" s="1851" t="s">
        <v>22</v>
      </c>
      <c r="H97" s="1851" t="s">
        <v>22</v>
      </c>
      <c r="I97" s="1851" t="s">
        <v>1008</v>
      </c>
    </row>
    <row customHeight="1" ht="11.25">
      <c r="A98" s="1851" t="s">
        <v>2569</v>
      </c>
      <c r="B98" s="1851" t="s">
        <v>16</v>
      </c>
      <c r="C98" s="1851" t="s">
        <v>2909</v>
      </c>
      <c r="D98" s="1851" t="s">
        <v>2910</v>
      </c>
      <c r="E98" s="1851" t="s">
        <v>2911</v>
      </c>
      <c r="F98" s="1851" t="s">
        <v>2572</v>
      </c>
      <c r="G98" s="1851" t="s">
        <v>22</v>
      </c>
      <c r="H98" s="1851" t="s">
        <v>22</v>
      </c>
      <c r="I98" s="1851" t="s">
        <v>1008</v>
      </c>
    </row>
    <row customHeight="1" ht="11.25">
      <c r="A99" s="1851" t="s">
        <v>2569</v>
      </c>
      <c r="B99" s="1851" t="s">
        <v>16</v>
      </c>
      <c r="C99" s="1851" t="s">
        <v>2912</v>
      </c>
      <c r="D99" s="1851" t="s">
        <v>2913</v>
      </c>
      <c r="E99" s="1851" t="s">
        <v>2914</v>
      </c>
      <c r="F99" s="1851" t="s">
        <v>2584</v>
      </c>
      <c r="G99" s="1851" t="s">
        <v>22</v>
      </c>
      <c r="H99" s="1851" t="s">
        <v>22</v>
      </c>
      <c r="I99" s="1851" t="s">
        <v>1008</v>
      </c>
    </row>
    <row customHeight="1" ht="11.25">
      <c r="A100" s="1851" t="s">
        <v>2569</v>
      </c>
      <c r="B100" s="1851" t="s">
        <v>16</v>
      </c>
      <c r="C100" s="1851" t="s">
        <v>2915</v>
      </c>
      <c r="D100" s="1851" t="s">
        <v>2916</v>
      </c>
      <c r="E100" s="1851" t="s">
        <v>2917</v>
      </c>
      <c r="F100" s="1851" t="s">
        <v>2576</v>
      </c>
      <c r="G100" s="1851" t="s">
        <v>22</v>
      </c>
      <c r="H100" s="1851" t="s">
        <v>22</v>
      </c>
      <c r="I100" s="1851" t="s">
        <v>1008</v>
      </c>
    </row>
    <row customHeight="1" ht="11.25">
      <c r="A101" s="1851" t="s">
        <v>2569</v>
      </c>
      <c r="B101" s="1851" t="s">
        <v>16</v>
      </c>
      <c r="C101" s="1851" t="s">
        <v>2918</v>
      </c>
      <c r="D101" s="1851" t="s">
        <v>2919</v>
      </c>
      <c r="E101" s="1851" t="s">
        <v>2920</v>
      </c>
      <c r="F101" s="1851" t="s">
        <v>2921</v>
      </c>
      <c r="G101" s="1851" t="s">
        <v>2922</v>
      </c>
      <c r="H101" s="1851" t="s">
        <v>22</v>
      </c>
      <c r="I101" s="1851" t="s">
        <v>1008</v>
      </c>
    </row>
    <row customHeight="1" ht="11.25">
      <c r="A102" s="1851" t="s">
        <v>2569</v>
      </c>
      <c r="B102" s="1851" t="s">
        <v>16</v>
      </c>
      <c r="C102" s="1851" t="s">
        <v>2923</v>
      </c>
      <c r="D102" s="1851" t="s">
        <v>2924</v>
      </c>
      <c r="E102" s="1851" t="s">
        <v>2925</v>
      </c>
      <c r="F102" s="1851" t="s">
        <v>2894</v>
      </c>
      <c r="G102" s="1851" t="s">
        <v>2926</v>
      </c>
      <c r="H102" s="1851" t="s">
        <v>22</v>
      </c>
      <c r="I102" s="1851" t="s">
        <v>1008</v>
      </c>
    </row>
    <row customHeight="1" ht="11.25">
      <c r="A103" s="1851" t="s">
        <v>2569</v>
      </c>
      <c r="B103" s="1851" t="s">
        <v>16</v>
      </c>
      <c r="C103" s="1851" t="s">
        <v>2927</v>
      </c>
      <c r="D103" s="1851" t="s">
        <v>2928</v>
      </c>
      <c r="E103" s="1851" t="s">
        <v>2929</v>
      </c>
      <c r="F103" s="1851" t="s">
        <v>2625</v>
      </c>
      <c r="G103" s="1851" t="s">
        <v>2930</v>
      </c>
      <c r="H103" s="1851" t="s">
        <v>22</v>
      </c>
      <c r="I103" s="1851" t="s">
        <v>1008</v>
      </c>
    </row>
    <row customHeight="1" ht="11.25">
      <c r="A104" s="1851" t="s">
        <v>2569</v>
      </c>
      <c r="B104" s="1851" t="s">
        <v>16</v>
      </c>
      <c r="C104" s="1851" t="s">
        <v>2931</v>
      </c>
      <c r="D104" s="1851" t="s">
        <v>2932</v>
      </c>
      <c r="E104" s="1851" t="s">
        <v>2933</v>
      </c>
      <c r="F104" s="1851" t="s">
        <v>2934</v>
      </c>
      <c r="G104" s="1851" t="s">
        <v>22</v>
      </c>
      <c r="H104" s="1851" t="s">
        <v>22</v>
      </c>
      <c r="I104" s="1851" t="s">
        <v>1008</v>
      </c>
    </row>
    <row customHeight="1" ht="11.25">
      <c r="A105" s="1851" t="s">
        <v>2569</v>
      </c>
      <c r="B105" s="1851" t="s">
        <v>16</v>
      </c>
      <c r="C105" s="1851" t="s">
        <v>2935</v>
      </c>
      <c r="D105" s="1851" t="s">
        <v>2936</v>
      </c>
      <c r="E105" s="1851" t="s">
        <v>2937</v>
      </c>
      <c r="F105" s="1851" t="s">
        <v>2572</v>
      </c>
      <c r="G105" s="1851" t="s">
        <v>22</v>
      </c>
      <c r="H105" s="1851" t="s">
        <v>22</v>
      </c>
      <c r="I105" s="1851" t="s">
        <v>1008</v>
      </c>
    </row>
    <row customHeight="1" ht="11.25">
      <c r="A106" s="1851" t="s">
        <v>2569</v>
      </c>
      <c r="B106" s="1851" t="s">
        <v>16</v>
      </c>
      <c r="C106" s="1851" t="s">
        <v>2938</v>
      </c>
      <c r="D106" s="1851" t="s">
        <v>2939</v>
      </c>
      <c r="E106" s="1851" t="s">
        <v>2671</v>
      </c>
      <c r="F106" s="1851" t="s">
        <v>2940</v>
      </c>
      <c r="G106" s="1851" t="s">
        <v>22</v>
      </c>
      <c r="H106" s="1851" t="s">
        <v>22</v>
      </c>
      <c r="I106" s="1851" t="s">
        <v>1008</v>
      </c>
    </row>
    <row customHeight="1" ht="11.25">
      <c r="A107" s="1851" t="s">
        <v>2569</v>
      </c>
      <c r="B107" s="1851" t="s">
        <v>16</v>
      </c>
      <c r="C107" s="1851" t="s">
        <v>2941</v>
      </c>
      <c r="D107" s="1851" t="s">
        <v>2942</v>
      </c>
      <c r="E107" s="1851" t="s">
        <v>2943</v>
      </c>
      <c r="F107" s="1851" t="s">
        <v>2774</v>
      </c>
      <c r="G107" s="1851" t="s">
        <v>22</v>
      </c>
      <c r="H107" s="1851" t="s">
        <v>22</v>
      </c>
      <c r="I107" s="1851" t="s">
        <v>1008</v>
      </c>
    </row>
    <row customHeight="1" ht="11.25">
      <c r="A108" s="1851" t="s">
        <v>2569</v>
      </c>
      <c r="B108" s="1851" t="s">
        <v>16</v>
      </c>
      <c r="C108" s="1851" t="s">
        <v>2944</v>
      </c>
      <c r="D108" s="1851" t="s">
        <v>2945</v>
      </c>
      <c r="E108" s="1851" t="s">
        <v>2946</v>
      </c>
      <c r="F108" s="1851" t="s">
        <v>2947</v>
      </c>
      <c r="G108" s="1851" t="s">
        <v>2948</v>
      </c>
      <c r="H108" s="1851" t="s">
        <v>22</v>
      </c>
      <c r="I108" s="1851" t="s">
        <v>1008</v>
      </c>
    </row>
    <row customHeight="1" ht="11.25">
      <c r="A109" s="1851" t="s">
        <v>2569</v>
      </c>
      <c r="B109" s="1851" t="s">
        <v>16</v>
      </c>
      <c r="C109" s="1851" t="s">
        <v>2949</v>
      </c>
      <c r="D109" s="1851" t="s">
        <v>2950</v>
      </c>
      <c r="E109" s="1851" t="s">
        <v>2951</v>
      </c>
      <c r="F109" s="1851" t="s">
        <v>2774</v>
      </c>
      <c r="G109" s="1851" t="s">
        <v>22</v>
      </c>
      <c r="H109" s="1851" t="s">
        <v>22</v>
      </c>
      <c r="I109" s="1851" t="s">
        <v>1008</v>
      </c>
    </row>
    <row customHeight="1" ht="11.25">
      <c r="A110" s="1851" t="s">
        <v>2569</v>
      </c>
      <c r="B110" s="1851" t="s">
        <v>16</v>
      </c>
      <c r="C110" s="1851" t="s">
        <v>2952</v>
      </c>
      <c r="D110" s="1851" t="s">
        <v>2953</v>
      </c>
      <c r="E110" s="1851" t="s">
        <v>2954</v>
      </c>
      <c r="F110" s="1851" t="s">
        <v>50</v>
      </c>
      <c r="G110" s="1851" t="s">
        <v>22</v>
      </c>
      <c r="H110" s="1851" t="s">
        <v>22</v>
      </c>
      <c r="I110" s="1851" t="s">
        <v>1008</v>
      </c>
    </row>
    <row customHeight="1" ht="11.25">
      <c r="A111" s="1851" t="s">
        <v>2569</v>
      </c>
      <c r="B111" s="1851" t="s">
        <v>16</v>
      </c>
      <c r="C111" s="1851" t="s">
        <v>2955</v>
      </c>
      <c r="D111" s="1851" t="s">
        <v>2956</v>
      </c>
      <c r="E111" s="1851" t="s">
        <v>2957</v>
      </c>
      <c r="F111" s="1851" t="s">
        <v>2709</v>
      </c>
      <c r="G111" s="1851" t="s">
        <v>22</v>
      </c>
      <c r="H111" s="1851" t="s">
        <v>22</v>
      </c>
      <c r="I111" s="1851" t="s">
        <v>1008</v>
      </c>
    </row>
    <row customHeight="1" ht="11.25">
      <c r="A112" s="1851" t="s">
        <v>2569</v>
      </c>
      <c r="B112" s="1851" t="s">
        <v>16</v>
      </c>
      <c r="C112" s="1851" t="s">
        <v>2958</v>
      </c>
      <c r="D112" s="1851" t="s">
        <v>2959</v>
      </c>
      <c r="E112" s="1851" t="s">
        <v>2960</v>
      </c>
      <c r="F112" s="1851" t="s">
        <v>2580</v>
      </c>
      <c r="G112" s="1851" t="s">
        <v>22</v>
      </c>
      <c r="H112" s="1851" t="s">
        <v>22</v>
      </c>
      <c r="I112" s="1851" t="s">
        <v>1008</v>
      </c>
    </row>
    <row customHeight="1" ht="11.25">
      <c r="A113" s="1851" t="s">
        <v>2569</v>
      </c>
      <c r="B113" s="1851" t="s">
        <v>16</v>
      </c>
      <c r="C113" s="1851" t="s">
        <v>2961</v>
      </c>
      <c r="D113" s="1851" t="s">
        <v>2962</v>
      </c>
      <c r="E113" s="1851" t="s">
        <v>2963</v>
      </c>
      <c r="F113" s="1851" t="s">
        <v>2964</v>
      </c>
      <c r="G113" s="1851" t="s">
        <v>22</v>
      </c>
      <c r="H113" s="1851" t="s">
        <v>22</v>
      </c>
      <c r="I113" s="1851" t="s">
        <v>1008</v>
      </c>
    </row>
    <row customHeight="1" ht="11.25">
      <c r="A114" s="1851" t="s">
        <v>2569</v>
      </c>
      <c r="B114" s="1851" t="s">
        <v>16</v>
      </c>
      <c r="C114" s="1851" t="s">
        <v>2965</v>
      </c>
      <c r="D114" s="1851" t="s">
        <v>2966</v>
      </c>
      <c r="E114" s="1851" t="s">
        <v>2967</v>
      </c>
      <c r="F114" s="1851" t="s">
        <v>2634</v>
      </c>
      <c r="G114" s="1851" t="s">
        <v>22</v>
      </c>
      <c r="H114" s="1851" t="s">
        <v>22</v>
      </c>
      <c r="I114" s="1851" t="s">
        <v>1008</v>
      </c>
    </row>
    <row customHeight="1" ht="11.25">
      <c r="A115" s="1851" t="s">
        <v>2569</v>
      </c>
      <c r="B115" s="1851" t="s">
        <v>16</v>
      </c>
      <c r="C115" s="1851" t="s">
        <v>2968</v>
      </c>
      <c r="D115" s="1851" t="s">
        <v>2969</v>
      </c>
      <c r="E115" s="1851" t="s">
        <v>2970</v>
      </c>
      <c r="F115" s="1851" t="s">
        <v>2613</v>
      </c>
      <c r="G115" s="1851" t="s">
        <v>22</v>
      </c>
      <c r="H115" s="1851" t="s">
        <v>22</v>
      </c>
      <c r="I115" s="1851" t="s">
        <v>1008</v>
      </c>
    </row>
    <row customHeight="1" ht="11.25">
      <c r="A116" s="1851" t="s">
        <v>2569</v>
      </c>
      <c r="B116" s="1851" t="s">
        <v>16</v>
      </c>
      <c r="C116" s="1851" t="s">
        <v>2971</v>
      </c>
      <c r="D116" s="1851" t="s">
        <v>2972</v>
      </c>
      <c r="E116" s="1851" t="s">
        <v>2973</v>
      </c>
      <c r="F116" s="1851" t="s">
        <v>50</v>
      </c>
      <c r="G116" s="1851" t="s">
        <v>22</v>
      </c>
      <c r="H116" s="1851" t="s">
        <v>22</v>
      </c>
      <c r="I116" s="1851" t="s">
        <v>1008</v>
      </c>
    </row>
    <row customHeight="1" ht="11.25">
      <c r="A117" s="1851" t="s">
        <v>2569</v>
      </c>
      <c r="B117" s="1851" t="s">
        <v>16</v>
      </c>
      <c r="C117" s="1851" t="s">
        <v>2974</v>
      </c>
      <c r="D117" s="1851" t="s">
        <v>2975</v>
      </c>
      <c r="E117" s="1851" t="s">
        <v>2976</v>
      </c>
      <c r="F117" s="1851" t="s">
        <v>2613</v>
      </c>
      <c r="G117" s="1851" t="s">
        <v>22</v>
      </c>
      <c r="H117" s="1851" t="s">
        <v>22</v>
      </c>
      <c r="I117" s="1851" t="s">
        <v>1008</v>
      </c>
    </row>
    <row customHeight="1" ht="11.25">
      <c r="A118" s="1851" t="s">
        <v>2569</v>
      </c>
      <c r="B118" s="1851" t="s">
        <v>16</v>
      </c>
      <c r="C118" s="1851" t="s">
        <v>2977</v>
      </c>
      <c r="D118" s="1851" t="s">
        <v>2978</v>
      </c>
      <c r="E118" s="1851" t="s">
        <v>2979</v>
      </c>
      <c r="F118" s="1851" t="s">
        <v>2613</v>
      </c>
      <c r="G118" s="1851" t="s">
        <v>22</v>
      </c>
      <c r="H118" s="1851" t="s">
        <v>22</v>
      </c>
      <c r="I118" s="1851" t="s">
        <v>1008</v>
      </c>
    </row>
    <row customHeight="1" ht="11.25">
      <c r="A119" s="1851" t="s">
        <v>2569</v>
      </c>
      <c r="B119" s="1851" t="s">
        <v>16</v>
      </c>
      <c r="C119" s="1851" t="s">
        <v>2980</v>
      </c>
      <c r="D119" s="1851" t="s">
        <v>2981</v>
      </c>
      <c r="E119" s="1851" t="s">
        <v>2982</v>
      </c>
      <c r="F119" s="1851" t="s">
        <v>2774</v>
      </c>
      <c r="G119" s="1851" t="s">
        <v>22</v>
      </c>
      <c r="H119" s="1851" t="s">
        <v>22</v>
      </c>
      <c r="I119" s="1851" t="s">
        <v>1008</v>
      </c>
    </row>
    <row customHeight="1" ht="11.25">
      <c r="A120" s="1851" t="s">
        <v>2569</v>
      </c>
      <c r="B120" s="1851" t="s">
        <v>16</v>
      </c>
      <c r="C120" s="1851" t="s">
        <v>2983</v>
      </c>
      <c r="D120" s="1851" t="s">
        <v>2984</v>
      </c>
      <c r="E120" s="1851" t="s">
        <v>2985</v>
      </c>
      <c r="F120" s="1851" t="s">
        <v>2986</v>
      </c>
      <c r="G120" s="1851" t="s">
        <v>22</v>
      </c>
      <c r="H120" s="1851" t="s">
        <v>22</v>
      </c>
      <c r="I120" s="1851" t="s">
        <v>1008</v>
      </c>
    </row>
    <row customHeight="1" ht="11.25">
      <c r="A121" s="1851" t="s">
        <v>2569</v>
      </c>
      <c r="B121" s="1851" t="s">
        <v>16</v>
      </c>
      <c r="C121" s="1851" t="s">
        <v>2987</v>
      </c>
      <c r="D121" s="1851" t="s">
        <v>2988</v>
      </c>
      <c r="E121" s="1851" t="s">
        <v>2989</v>
      </c>
      <c r="F121" s="1851" t="s">
        <v>2990</v>
      </c>
      <c r="G121" s="1851" t="s">
        <v>22</v>
      </c>
      <c r="H121" s="1851" t="s">
        <v>22</v>
      </c>
      <c r="I121" s="1851" t="s">
        <v>1008</v>
      </c>
    </row>
    <row customHeight="1" ht="11.25">
      <c r="A122" s="1851" t="s">
        <v>2569</v>
      </c>
      <c r="B122" s="1851" t="s">
        <v>16</v>
      </c>
      <c r="C122" s="1851" t="s">
        <v>2991</v>
      </c>
      <c r="D122" s="1851" t="s">
        <v>2992</v>
      </c>
      <c r="E122" s="1851" t="s">
        <v>2993</v>
      </c>
      <c r="F122" s="1851" t="s">
        <v>2601</v>
      </c>
      <c r="G122" s="1851" t="s">
        <v>22</v>
      </c>
      <c r="H122" s="1851" t="s">
        <v>22</v>
      </c>
      <c r="I122" s="1851" t="s">
        <v>1008</v>
      </c>
    </row>
    <row customHeight="1" ht="11.25">
      <c r="A123" s="1851" t="s">
        <v>2569</v>
      </c>
      <c r="B123" s="1851" t="s">
        <v>16</v>
      </c>
      <c r="C123" s="1851" t="s">
        <v>2994</v>
      </c>
      <c r="D123" s="1851" t="s">
        <v>2995</v>
      </c>
      <c r="E123" s="1851" t="s">
        <v>2996</v>
      </c>
      <c r="F123" s="1851" t="s">
        <v>2605</v>
      </c>
      <c r="G123" s="1851" t="s">
        <v>22</v>
      </c>
      <c r="H123" s="1851" t="s">
        <v>22</v>
      </c>
      <c r="I123" s="1851" t="s">
        <v>1008</v>
      </c>
    </row>
    <row customHeight="1" ht="11.25">
      <c r="A124" s="1851" t="s">
        <v>2569</v>
      </c>
      <c r="B124" s="1851" t="s">
        <v>16</v>
      </c>
      <c r="C124" s="1851" t="s">
        <v>22</v>
      </c>
      <c r="D124" s="1851" t="s">
        <v>2570</v>
      </c>
      <c r="E124" s="1851" t="s">
        <v>2571</v>
      </c>
      <c r="F124" s="1851" t="s">
        <v>2572</v>
      </c>
      <c r="G124" s="1851" t="s">
        <v>22</v>
      </c>
      <c r="H124" s="1851" t="s">
        <v>22</v>
      </c>
      <c r="I124" s="1851" t="s">
        <v>1095</v>
      </c>
    </row>
    <row customHeight="1" ht="11.25">
      <c r="A125" s="1851" t="s">
        <v>2569</v>
      </c>
      <c r="B125" s="1851" t="s">
        <v>16</v>
      </c>
      <c r="C125" s="1851" t="s">
        <v>2581</v>
      </c>
      <c r="D125" s="1851" t="s">
        <v>2582</v>
      </c>
      <c r="E125" s="1851" t="s">
        <v>2583</v>
      </c>
      <c r="F125" s="1851" t="s">
        <v>2584</v>
      </c>
      <c r="G125" s="1851" t="s">
        <v>22</v>
      </c>
      <c r="H125" s="1851" t="s">
        <v>22</v>
      </c>
      <c r="I125" s="1851" t="s">
        <v>1095</v>
      </c>
    </row>
    <row customHeight="1" ht="11.25">
      <c r="A126" s="1851" t="s">
        <v>2569</v>
      </c>
      <c r="B126" s="1851" t="s">
        <v>16</v>
      </c>
      <c r="C126" s="1851" t="s">
        <v>2585</v>
      </c>
      <c r="D126" s="1851" t="s">
        <v>2586</v>
      </c>
      <c r="E126" s="1851" t="s">
        <v>2587</v>
      </c>
      <c r="F126" s="1851" t="s">
        <v>2588</v>
      </c>
      <c r="G126" s="1851" t="s">
        <v>22</v>
      </c>
      <c r="H126" s="1851" t="s">
        <v>22</v>
      </c>
      <c r="I126" s="1851" t="s">
        <v>1095</v>
      </c>
    </row>
    <row customHeight="1" ht="11.25">
      <c r="A127" s="1851" t="s">
        <v>2569</v>
      </c>
      <c r="B127" s="1851" t="s">
        <v>16</v>
      </c>
      <c r="C127" s="1851" t="s">
        <v>2592</v>
      </c>
      <c r="D127" s="1851" t="s">
        <v>2593</v>
      </c>
      <c r="E127" s="1851" t="s">
        <v>2587</v>
      </c>
      <c r="F127" s="1851" t="s">
        <v>2594</v>
      </c>
      <c r="G127" s="1851" t="s">
        <v>22</v>
      </c>
      <c r="H127" s="1851" t="s">
        <v>22</v>
      </c>
      <c r="I127" s="1851" t="s">
        <v>1095</v>
      </c>
    </row>
    <row customHeight="1" ht="11.25">
      <c r="A128" s="1851" t="s">
        <v>2569</v>
      </c>
      <c r="B128" s="1851" t="s">
        <v>16</v>
      </c>
      <c r="C128" s="1851" t="s">
        <v>2595</v>
      </c>
      <c r="D128" s="1851" t="s">
        <v>2596</v>
      </c>
      <c r="E128" s="1851" t="s">
        <v>2587</v>
      </c>
      <c r="F128" s="1851" t="s">
        <v>2597</v>
      </c>
      <c r="G128" s="1851" t="s">
        <v>22</v>
      </c>
      <c r="H128" s="1851" t="s">
        <v>22</v>
      </c>
      <c r="I128" s="1851" t="s">
        <v>1095</v>
      </c>
    </row>
    <row customHeight="1" ht="11.25">
      <c r="A129" s="1851" t="s">
        <v>2569</v>
      </c>
      <c r="B129" s="1851" t="s">
        <v>16</v>
      </c>
      <c r="C129" s="1851" t="s">
        <v>2602</v>
      </c>
      <c r="D129" s="1851" t="s">
        <v>2603</v>
      </c>
      <c r="E129" s="1851" t="s">
        <v>2604</v>
      </c>
      <c r="F129" s="1851" t="s">
        <v>2605</v>
      </c>
      <c r="G129" s="1851" t="s">
        <v>22</v>
      </c>
      <c r="H129" s="1851" t="s">
        <v>22</v>
      </c>
      <c r="I129" s="1851" t="s">
        <v>1095</v>
      </c>
    </row>
    <row customHeight="1" ht="11.25">
      <c r="A130" s="1851" t="s">
        <v>2569</v>
      </c>
      <c r="B130" s="1851" t="s">
        <v>16</v>
      </c>
      <c r="C130" s="1851" t="s">
        <v>2614</v>
      </c>
      <c r="D130" s="1851" t="s">
        <v>2615</v>
      </c>
      <c r="E130" s="1851" t="s">
        <v>2616</v>
      </c>
      <c r="F130" s="1851" t="s">
        <v>2617</v>
      </c>
      <c r="G130" s="1851" t="s">
        <v>2618</v>
      </c>
      <c r="H130" s="1851" t="s">
        <v>22</v>
      </c>
      <c r="I130" s="1851" t="s">
        <v>1095</v>
      </c>
    </row>
    <row customHeight="1" ht="11.25">
      <c r="A131" s="1851" t="s">
        <v>2569</v>
      </c>
      <c r="B131" s="1851" t="s">
        <v>16</v>
      </c>
      <c r="C131" s="1851" t="s">
        <v>2631</v>
      </c>
      <c r="D131" s="1851" t="s">
        <v>2632</v>
      </c>
      <c r="E131" s="1851" t="s">
        <v>2633</v>
      </c>
      <c r="F131" s="1851" t="s">
        <v>2634</v>
      </c>
      <c r="G131" s="1851" t="s">
        <v>2635</v>
      </c>
      <c r="H131" s="1851" t="s">
        <v>22</v>
      </c>
      <c r="I131" s="1851" t="s">
        <v>1095</v>
      </c>
    </row>
    <row customHeight="1" ht="11.25">
      <c r="A132" s="1851" t="s">
        <v>2569</v>
      </c>
      <c r="B132" s="1851" t="s">
        <v>16</v>
      </c>
      <c r="C132" s="1851" t="s">
        <v>2636</v>
      </c>
      <c r="D132" s="1851" t="s">
        <v>2637</v>
      </c>
      <c r="E132" s="1851" t="s">
        <v>2638</v>
      </c>
      <c r="F132" s="1851" t="s">
        <v>2601</v>
      </c>
      <c r="G132" s="1851" t="s">
        <v>22</v>
      </c>
      <c r="H132" s="1851" t="s">
        <v>22</v>
      </c>
      <c r="I132" s="1851" t="s">
        <v>1095</v>
      </c>
    </row>
    <row customHeight="1" ht="11.25">
      <c r="A133" s="1851" t="s">
        <v>2569</v>
      </c>
      <c r="B133" s="1851" t="s">
        <v>16</v>
      </c>
      <c r="C133" s="1851" t="s">
        <v>2643</v>
      </c>
      <c r="D133" s="1851" t="s">
        <v>2644</v>
      </c>
      <c r="E133" s="1851" t="s">
        <v>2645</v>
      </c>
      <c r="F133" s="1851" t="s">
        <v>2613</v>
      </c>
      <c r="G133" s="1851" t="s">
        <v>2646</v>
      </c>
      <c r="H133" s="1851" t="s">
        <v>22</v>
      </c>
      <c r="I133" s="1851" t="s">
        <v>1095</v>
      </c>
    </row>
    <row customHeight="1" ht="11.25">
      <c r="A134" s="1851" t="s">
        <v>2569</v>
      </c>
      <c r="B134" s="1851" t="s">
        <v>16</v>
      </c>
      <c r="C134" s="1851" t="s">
        <v>2655</v>
      </c>
      <c r="D134" s="1851" t="s">
        <v>2656</v>
      </c>
      <c r="E134" s="1851" t="s">
        <v>2657</v>
      </c>
      <c r="F134" s="1851" t="s">
        <v>2658</v>
      </c>
      <c r="G134" s="1851" t="s">
        <v>22</v>
      </c>
      <c r="H134" s="1851" t="s">
        <v>22</v>
      </c>
      <c r="I134" s="1851" t="s">
        <v>1095</v>
      </c>
    </row>
    <row customHeight="1" ht="11.25">
      <c r="A135" s="1851" t="s">
        <v>2569</v>
      </c>
      <c r="B135" s="1851" t="s">
        <v>16</v>
      </c>
      <c r="C135" s="1851" t="s">
        <v>2673</v>
      </c>
      <c r="D135" s="1851" t="s">
        <v>2674</v>
      </c>
      <c r="E135" s="1851" t="s">
        <v>2671</v>
      </c>
      <c r="F135" s="1851" t="s">
        <v>2675</v>
      </c>
      <c r="G135" s="1851" t="s">
        <v>22</v>
      </c>
      <c r="H135" s="1851" t="s">
        <v>22</v>
      </c>
      <c r="I135" s="1851" t="s">
        <v>1095</v>
      </c>
    </row>
    <row customHeight="1" ht="11.25">
      <c r="A136" s="1851" t="s">
        <v>2569</v>
      </c>
      <c r="B136" s="1851" t="s">
        <v>16</v>
      </c>
      <c r="C136" s="1851" t="s">
        <v>2997</v>
      </c>
      <c r="D136" s="1851" t="s">
        <v>45</v>
      </c>
      <c r="E136" s="1851" t="s">
        <v>48</v>
      </c>
      <c r="F136" s="1851" t="s">
        <v>2998</v>
      </c>
      <c r="G136" s="1851" t="s">
        <v>22</v>
      </c>
      <c r="H136" s="1851" t="s">
        <v>22</v>
      </c>
      <c r="I136" s="1851" t="s">
        <v>1095</v>
      </c>
    </row>
    <row customHeight="1" ht="11.25">
      <c r="A137" s="1851" t="s">
        <v>2569</v>
      </c>
      <c r="B137" s="1851" t="s">
        <v>16</v>
      </c>
      <c r="C137" s="1851" t="s">
        <v>2999</v>
      </c>
      <c r="D137" s="1851" t="s">
        <v>45</v>
      </c>
      <c r="E137" s="1851" t="s">
        <v>48</v>
      </c>
      <c r="F137" s="1851" t="s">
        <v>3000</v>
      </c>
      <c r="G137" s="1851" t="s">
        <v>22</v>
      </c>
      <c r="H137" s="1851" t="s">
        <v>22</v>
      </c>
      <c r="I137" s="1851" t="s">
        <v>1095</v>
      </c>
    </row>
    <row customHeight="1" ht="11.25">
      <c r="A138" s="1851" t="s">
        <v>2569</v>
      </c>
      <c r="B138" s="1851" t="s">
        <v>16</v>
      </c>
      <c r="C138" s="1851" t="s">
        <v>3001</v>
      </c>
      <c r="D138" s="1851" t="s">
        <v>45</v>
      </c>
      <c r="E138" s="1851" t="s">
        <v>48</v>
      </c>
      <c r="F138" s="1851" t="s">
        <v>3002</v>
      </c>
      <c r="G138" s="1851" t="s">
        <v>22</v>
      </c>
      <c r="H138" s="1851" t="s">
        <v>22</v>
      </c>
      <c r="I138" s="1851" t="s">
        <v>1095</v>
      </c>
    </row>
    <row customHeight="1" ht="11.25">
      <c r="A139" s="1851" t="s">
        <v>2569</v>
      </c>
      <c r="B139" s="1851" t="s">
        <v>16</v>
      </c>
      <c r="C139" s="1851" t="s">
        <v>3003</v>
      </c>
      <c r="D139" s="1851" t="s">
        <v>45</v>
      </c>
      <c r="E139" s="1851" t="s">
        <v>48</v>
      </c>
      <c r="F139" s="1851" t="s">
        <v>3004</v>
      </c>
      <c r="G139" s="1851" t="s">
        <v>22</v>
      </c>
      <c r="H139" s="1851" t="s">
        <v>22</v>
      </c>
      <c r="I139" s="1851" t="s">
        <v>1095</v>
      </c>
    </row>
    <row customHeight="1" ht="11.25">
      <c r="A140" s="1851" t="s">
        <v>2569</v>
      </c>
      <c r="B140" s="1851" t="s">
        <v>16</v>
      </c>
      <c r="C140" s="1851" t="s">
        <v>3005</v>
      </c>
      <c r="D140" s="1851" t="s">
        <v>45</v>
      </c>
      <c r="E140" s="1851" t="s">
        <v>48</v>
      </c>
      <c r="F140" s="1851" t="s">
        <v>3006</v>
      </c>
      <c r="G140" s="1851" t="s">
        <v>22</v>
      </c>
      <c r="H140" s="1851" t="s">
        <v>22</v>
      </c>
      <c r="I140" s="1851" t="s">
        <v>1095</v>
      </c>
    </row>
    <row customHeight="1" ht="11.25">
      <c r="A141" s="1851" t="s">
        <v>2569</v>
      </c>
      <c r="B141" s="1851" t="s">
        <v>16</v>
      </c>
      <c r="C141" s="1851" t="s">
        <v>3007</v>
      </c>
      <c r="D141" s="1851" t="s">
        <v>45</v>
      </c>
      <c r="E141" s="1851" t="s">
        <v>48</v>
      </c>
      <c r="F141" s="1851" t="s">
        <v>3008</v>
      </c>
      <c r="G141" s="1851" t="s">
        <v>22</v>
      </c>
      <c r="H141" s="1851" t="s">
        <v>22</v>
      </c>
      <c r="I141" s="1851" t="s">
        <v>1095</v>
      </c>
    </row>
    <row customHeight="1" ht="11.25">
      <c r="A142" s="1851" t="s">
        <v>2569</v>
      </c>
      <c r="B142" s="1851" t="s">
        <v>16</v>
      </c>
      <c r="C142" s="1851" t="s">
        <v>3009</v>
      </c>
      <c r="D142" s="1851" t="s">
        <v>45</v>
      </c>
      <c r="E142" s="1851" t="s">
        <v>48</v>
      </c>
      <c r="F142" s="1851" t="s">
        <v>3010</v>
      </c>
      <c r="G142" s="1851" t="s">
        <v>22</v>
      </c>
      <c r="H142" s="1851" t="s">
        <v>22</v>
      </c>
      <c r="I142" s="1851" t="s">
        <v>1095</v>
      </c>
    </row>
    <row customHeight="1" ht="11.25">
      <c r="A143" s="1851" t="s">
        <v>2569</v>
      </c>
      <c r="B143" s="1851" t="s">
        <v>16</v>
      </c>
      <c r="C143" s="1851" t="s">
        <v>3011</v>
      </c>
      <c r="D143" s="1851" t="s">
        <v>45</v>
      </c>
      <c r="E143" s="1851" t="s">
        <v>48</v>
      </c>
      <c r="F143" s="1851" t="s">
        <v>3012</v>
      </c>
      <c r="G143" s="1851" t="s">
        <v>22</v>
      </c>
      <c r="H143" s="1851" t="s">
        <v>22</v>
      </c>
      <c r="I143" s="1851" t="s">
        <v>1095</v>
      </c>
    </row>
    <row customHeight="1" ht="11.25">
      <c r="A144" s="1851" t="s">
        <v>2569</v>
      </c>
      <c r="B144" s="1851" t="s">
        <v>16</v>
      </c>
      <c r="C144" s="1851" t="s">
        <v>13</v>
      </c>
      <c r="D144" s="1851" t="s">
        <v>45</v>
      </c>
      <c r="E144" s="1851" t="s">
        <v>48</v>
      </c>
      <c r="F144" s="1851" t="s">
        <v>50</v>
      </c>
      <c r="G144" s="1851" t="s">
        <v>22</v>
      </c>
      <c r="H144" s="1851" t="s">
        <v>22</v>
      </c>
      <c r="I144" s="1851" t="s">
        <v>1095</v>
      </c>
    </row>
    <row customHeight="1" ht="11.25">
      <c r="A145" s="1851" t="s">
        <v>2569</v>
      </c>
      <c r="B145" s="1851" t="s">
        <v>16</v>
      </c>
      <c r="C145" s="1851" t="s">
        <v>3013</v>
      </c>
      <c r="D145" s="1851" t="s">
        <v>3014</v>
      </c>
      <c r="E145" s="1851" t="s">
        <v>48</v>
      </c>
      <c r="F145" s="1851" t="s">
        <v>3015</v>
      </c>
      <c r="G145" s="1851" t="s">
        <v>22</v>
      </c>
      <c r="H145" s="1851" t="s">
        <v>22</v>
      </c>
      <c r="I145" s="1851" t="s">
        <v>1095</v>
      </c>
    </row>
    <row customHeight="1" ht="11.25">
      <c r="A146" s="1851" t="s">
        <v>2569</v>
      </c>
      <c r="B146" s="1851" t="s">
        <v>16</v>
      </c>
      <c r="C146" s="1851" t="s">
        <v>2727</v>
      </c>
      <c r="D146" s="1851" t="s">
        <v>2728</v>
      </c>
      <c r="E146" s="1851" t="s">
        <v>2729</v>
      </c>
      <c r="F146" s="1851" t="s">
        <v>2601</v>
      </c>
      <c r="G146" s="1851" t="s">
        <v>22</v>
      </c>
      <c r="H146" s="1851" t="s">
        <v>22</v>
      </c>
      <c r="I146" s="1851" t="s">
        <v>1095</v>
      </c>
    </row>
    <row customHeight="1" ht="11.25">
      <c r="A147" s="1851" t="s">
        <v>2569</v>
      </c>
      <c r="B147" s="1851" t="s">
        <v>16</v>
      </c>
      <c r="C147" s="1851" t="s">
        <v>2734</v>
      </c>
      <c r="D147" s="1851" t="s">
        <v>2735</v>
      </c>
      <c r="E147" s="1851" t="s">
        <v>2736</v>
      </c>
      <c r="F147" s="1851" t="s">
        <v>2609</v>
      </c>
      <c r="G147" s="1851" t="s">
        <v>22</v>
      </c>
      <c r="H147" s="1851" t="s">
        <v>22</v>
      </c>
      <c r="I147" s="1851" t="s">
        <v>1095</v>
      </c>
    </row>
    <row customHeight="1" ht="11.25">
      <c r="A148" s="1851" t="s">
        <v>2569</v>
      </c>
      <c r="B148" s="1851" t="s">
        <v>16</v>
      </c>
      <c r="C148" s="1851" t="s">
        <v>2754</v>
      </c>
      <c r="D148" s="1851" t="s">
        <v>2755</v>
      </c>
      <c r="E148" s="1851" t="s">
        <v>2756</v>
      </c>
      <c r="F148" s="1851" t="s">
        <v>50</v>
      </c>
      <c r="G148" s="1851" t="s">
        <v>22</v>
      </c>
      <c r="H148" s="1851" t="s">
        <v>22</v>
      </c>
      <c r="I148" s="1851" t="s">
        <v>1095</v>
      </c>
    </row>
    <row customHeight="1" ht="11.25">
      <c r="A149" s="1851" t="s">
        <v>2569</v>
      </c>
      <c r="B149" s="1851" t="s">
        <v>16</v>
      </c>
      <c r="C149" s="1851" t="s">
        <v>2778</v>
      </c>
      <c r="D149" s="1851" t="s">
        <v>2779</v>
      </c>
      <c r="E149" s="1851" t="s">
        <v>2671</v>
      </c>
      <c r="F149" s="1851" t="s">
        <v>2780</v>
      </c>
      <c r="G149" s="1851" t="s">
        <v>22</v>
      </c>
      <c r="H149" s="1851" t="s">
        <v>22</v>
      </c>
      <c r="I149" s="1851" t="s">
        <v>1095</v>
      </c>
    </row>
    <row customHeight="1" ht="11.25">
      <c r="A150" s="1851" t="s">
        <v>2569</v>
      </c>
      <c r="B150" s="1851" t="s">
        <v>16</v>
      </c>
      <c r="C150" s="1851" t="s">
        <v>2826</v>
      </c>
      <c r="D150" s="1851" t="s">
        <v>2827</v>
      </c>
      <c r="E150" s="1851" t="s">
        <v>2828</v>
      </c>
      <c r="F150" s="1851" t="s">
        <v>2829</v>
      </c>
      <c r="G150" s="1851" t="s">
        <v>2830</v>
      </c>
      <c r="H150" s="1851" t="s">
        <v>22</v>
      </c>
      <c r="I150" s="1851" t="s">
        <v>1095</v>
      </c>
    </row>
    <row customHeight="1" ht="11.25">
      <c r="A151" s="1851" t="s">
        <v>2569</v>
      </c>
      <c r="B151" s="1851" t="s">
        <v>16</v>
      </c>
      <c r="C151" s="1851" t="s">
        <v>2837</v>
      </c>
      <c r="D151" s="1851" t="s">
        <v>2838</v>
      </c>
      <c r="E151" s="1851" t="s">
        <v>2839</v>
      </c>
      <c r="F151" s="1851" t="s">
        <v>2840</v>
      </c>
      <c r="G151" s="1851" t="s">
        <v>22</v>
      </c>
      <c r="H151" s="1851" t="s">
        <v>22</v>
      </c>
      <c r="I151" s="1851" t="s">
        <v>1095</v>
      </c>
    </row>
    <row customHeight="1" ht="11.25">
      <c r="A152" s="1851" t="s">
        <v>2569</v>
      </c>
      <c r="B152" s="1851" t="s">
        <v>16</v>
      </c>
      <c r="C152" s="1851" t="s">
        <v>2884</v>
      </c>
      <c r="D152" s="1851" t="s">
        <v>2885</v>
      </c>
      <c r="E152" s="1851" t="s">
        <v>2886</v>
      </c>
      <c r="F152" s="1851" t="s">
        <v>2887</v>
      </c>
      <c r="G152" s="1851" t="s">
        <v>22</v>
      </c>
      <c r="H152" s="1851" t="s">
        <v>22</v>
      </c>
      <c r="I152" s="1851" t="s">
        <v>1095</v>
      </c>
    </row>
    <row customHeight="1" ht="11.25">
      <c r="A153" s="1851" t="s">
        <v>2569</v>
      </c>
      <c r="B153" s="1851" t="s">
        <v>16</v>
      </c>
      <c r="C153" s="1851" t="s">
        <v>2935</v>
      </c>
      <c r="D153" s="1851" t="s">
        <v>2936</v>
      </c>
      <c r="E153" s="1851" t="s">
        <v>2937</v>
      </c>
      <c r="F153" s="1851" t="s">
        <v>2572</v>
      </c>
      <c r="G153" s="1851" t="s">
        <v>22</v>
      </c>
      <c r="H153" s="1851" t="s">
        <v>22</v>
      </c>
      <c r="I153" s="1851" t="s">
        <v>1095</v>
      </c>
    </row>
    <row customHeight="1" ht="11.25">
      <c r="A154" s="1851" t="s">
        <v>2569</v>
      </c>
      <c r="B154" s="1851" t="s">
        <v>16</v>
      </c>
      <c r="C154" s="1851" t="s">
        <v>2941</v>
      </c>
      <c r="D154" s="1851" t="s">
        <v>2942</v>
      </c>
      <c r="E154" s="1851" t="s">
        <v>2943</v>
      </c>
      <c r="F154" s="1851" t="s">
        <v>2774</v>
      </c>
      <c r="G154" s="1851" t="s">
        <v>22</v>
      </c>
      <c r="H154" s="1851" t="s">
        <v>22</v>
      </c>
      <c r="I154" s="1851" t="s">
        <v>1095</v>
      </c>
    </row>
    <row customHeight="1" ht="11.25">
      <c r="A155" s="1851" t="s">
        <v>2569</v>
      </c>
      <c r="B155" s="1851" t="s">
        <v>16</v>
      </c>
      <c r="C155" s="1851" t="s">
        <v>2944</v>
      </c>
      <c r="D155" s="1851" t="s">
        <v>2945</v>
      </c>
      <c r="E155" s="1851" t="s">
        <v>2946</v>
      </c>
      <c r="F155" s="1851" t="s">
        <v>2947</v>
      </c>
      <c r="G155" s="1851" t="s">
        <v>2948</v>
      </c>
      <c r="H155" s="1851" t="s">
        <v>22</v>
      </c>
      <c r="I155" s="1851" t="s">
        <v>1095</v>
      </c>
    </row>
    <row customHeight="1" ht="11.25">
      <c r="A156" s="1851" t="s">
        <v>2569</v>
      </c>
      <c r="B156" s="1851" t="s">
        <v>16</v>
      </c>
      <c r="C156" s="1851" t="s">
        <v>2980</v>
      </c>
      <c r="D156" s="1851" t="s">
        <v>2981</v>
      </c>
      <c r="E156" s="1851" t="s">
        <v>2982</v>
      </c>
      <c r="F156" s="1851" t="s">
        <v>2774</v>
      </c>
      <c r="G156" s="1851" t="s">
        <v>22</v>
      </c>
      <c r="H156" s="1851" t="s">
        <v>22</v>
      </c>
      <c r="I156" s="1851" t="s">
        <v>1095</v>
      </c>
    </row>
    <row customHeight="1" ht="11.25">
      <c r="A157" s="1851" t="s">
        <v>2569</v>
      </c>
      <c r="B157" s="1851" t="s">
        <v>16</v>
      </c>
      <c r="C157" s="1851" t="s">
        <v>2991</v>
      </c>
      <c r="D157" s="1851" t="s">
        <v>2992</v>
      </c>
      <c r="E157" s="1851" t="s">
        <v>2993</v>
      </c>
      <c r="F157" s="1851" t="s">
        <v>2601</v>
      </c>
      <c r="G157" s="1851" t="s">
        <v>22</v>
      </c>
      <c r="H157" s="1851" t="s">
        <v>22</v>
      </c>
      <c r="I157" s="1851" t="s">
        <v>1095</v>
      </c>
    </row>
    <row customHeight="1" ht="11.25">
      <c r="A158" s="1851" t="s">
        <v>2569</v>
      </c>
      <c r="B158" s="1851" t="s">
        <v>16</v>
      </c>
      <c r="C158" s="1851" t="s">
        <v>22</v>
      </c>
      <c r="D158" s="1851" t="s">
        <v>2570</v>
      </c>
      <c r="E158" s="1851" t="s">
        <v>2571</v>
      </c>
      <c r="F158" s="1851" t="s">
        <v>2572</v>
      </c>
      <c r="G158" s="1851" t="s">
        <v>22</v>
      </c>
      <c r="H158" s="1851" t="s">
        <v>22</v>
      </c>
      <c r="I158" s="1851" t="s">
        <v>1054</v>
      </c>
    </row>
    <row customHeight="1" ht="11.25">
      <c r="A159" s="1851" t="s">
        <v>2569</v>
      </c>
      <c r="B159" s="1851" t="s">
        <v>16</v>
      </c>
      <c r="C159" s="1851" t="s">
        <v>2573</v>
      </c>
      <c r="D159" s="1851" t="s">
        <v>2574</v>
      </c>
      <c r="E159" s="1851" t="s">
        <v>2575</v>
      </c>
      <c r="F159" s="1851" t="s">
        <v>2576</v>
      </c>
      <c r="G159" s="1851" t="s">
        <v>22</v>
      </c>
      <c r="H159" s="1851" t="s">
        <v>22</v>
      </c>
      <c r="I159" s="1851" t="s">
        <v>1054</v>
      </c>
    </row>
    <row customHeight="1" ht="11.25">
      <c r="A160" s="1851" t="s">
        <v>2569</v>
      </c>
      <c r="B160" s="1851" t="s">
        <v>16</v>
      </c>
      <c r="C160" s="1851" t="s">
        <v>2581</v>
      </c>
      <c r="D160" s="1851" t="s">
        <v>2582</v>
      </c>
      <c r="E160" s="1851" t="s">
        <v>2583</v>
      </c>
      <c r="F160" s="1851" t="s">
        <v>2584</v>
      </c>
      <c r="G160" s="1851" t="s">
        <v>22</v>
      </c>
      <c r="H160" s="1851" t="s">
        <v>22</v>
      </c>
      <c r="I160" s="1851" t="s">
        <v>1054</v>
      </c>
    </row>
    <row customHeight="1" ht="11.25">
      <c r="A161" s="1851" t="s">
        <v>2569</v>
      </c>
      <c r="B161" s="1851" t="s">
        <v>16</v>
      </c>
      <c r="C161" s="1851" t="s">
        <v>2585</v>
      </c>
      <c r="D161" s="1851" t="s">
        <v>2586</v>
      </c>
      <c r="E161" s="1851" t="s">
        <v>2587</v>
      </c>
      <c r="F161" s="1851" t="s">
        <v>2588</v>
      </c>
      <c r="G161" s="1851" t="s">
        <v>22</v>
      </c>
      <c r="H161" s="1851" t="s">
        <v>22</v>
      </c>
      <c r="I161" s="1851" t="s">
        <v>1054</v>
      </c>
    </row>
    <row customHeight="1" ht="11.25">
      <c r="A162" s="1851" t="s">
        <v>2569</v>
      </c>
      <c r="B162" s="1851" t="s">
        <v>16</v>
      </c>
      <c r="C162" s="1851" t="s">
        <v>2589</v>
      </c>
      <c r="D162" s="1851" t="s">
        <v>2586</v>
      </c>
      <c r="E162" s="1851" t="s">
        <v>2587</v>
      </c>
      <c r="F162" s="1851" t="s">
        <v>2590</v>
      </c>
      <c r="G162" s="1851" t="s">
        <v>2591</v>
      </c>
      <c r="H162" s="1851" t="s">
        <v>22</v>
      </c>
      <c r="I162" s="1851" t="s">
        <v>1054</v>
      </c>
    </row>
    <row customHeight="1" ht="11.25">
      <c r="A163" s="1851" t="s">
        <v>2569</v>
      </c>
      <c r="B163" s="1851" t="s">
        <v>16</v>
      </c>
      <c r="C163" s="1851" t="s">
        <v>2595</v>
      </c>
      <c r="D163" s="1851" t="s">
        <v>2596</v>
      </c>
      <c r="E163" s="1851" t="s">
        <v>2587</v>
      </c>
      <c r="F163" s="1851" t="s">
        <v>2597</v>
      </c>
      <c r="G163" s="1851" t="s">
        <v>22</v>
      </c>
      <c r="H163" s="1851" t="s">
        <v>22</v>
      </c>
      <c r="I163" s="1851" t="s">
        <v>1054</v>
      </c>
    </row>
    <row customHeight="1" ht="11.25">
      <c r="A164" s="1851" t="s">
        <v>2569</v>
      </c>
      <c r="B164" s="1851" t="s">
        <v>16</v>
      </c>
      <c r="C164" s="1851" t="s">
        <v>2598</v>
      </c>
      <c r="D164" s="1851" t="s">
        <v>2599</v>
      </c>
      <c r="E164" s="1851" t="s">
        <v>2600</v>
      </c>
      <c r="F164" s="1851" t="s">
        <v>2601</v>
      </c>
      <c r="G164" s="1851" t="s">
        <v>22</v>
      </c>
      <c r="H164" s="1851" t="s">
        <v>22</v>
      </c>
      <c r="I164" s="1851" t="s">
        <v>1054</v>
      </c>
    </row>
    <row customHeight="1" ht="11.25">
      <c r="A165" s="1851" t="s">
        <v>2569</v>
      </c>
      <c r="B165" s="1851" t="s">
        <v>16</v>
      </c>
      <c r="C165" s="1851" t="s">
        <v>2610</v>
      </c>
      <c r="D165" s="1851" t="s">
        <v>2611</v>
      </c>
      <c r="E165" s="1851" t="s">
        <v>2612</v>
      </c>
      <c r="F165" s="1851" t="s">
        <v>2613</v>
      </c>
      <c r="G165" s="1851" t="s">
        <v>22</v>
      </c>
      <c r="H165" s="1851" t="s">
        <v>22</v>
      </c>
      <c r="I165" s="1851" t="s">
        <v>1054</v>
      </c>
    </row>
    <row customHeight="1" ht="11.25">
      <c r="A166" s="1851" t="s">
        <v>2569</v>
      </c>
      <c r="B166" s="1851" t="s">
        <v>16</v>
      </c>
      <c r="C166" s="1851" t="s">
        <v>3016</v>
      </c>
      <c r="D166" s="1851" t="s">
        <v>3017</v>
      </c>
      <c r="E166" s="1851" t="s">
        <v>3018</v>
      </c>
      <c r="F166" s="1851" t="s">
        <v>2812</v>
      </c>
      <c r="G166" s="1851" t="s">
        <v>3019</v>
      </c>
      <c r="H166" s="1851" t="s">
        <v>22</v>
      </c>
      <c r="I166" s="1851" t="s">
        <v>1054</v>
      </c>
    </row>
    <row customHeight="1" ht="11.25">
      <c r="A167" s="1851" t="s">
        <v>2569</v>
      </c>
      <c r="B167" s="1851" t="s">
        <v>16</v>
      </c>
      <c r="C167" s="1851" t="s">
        <v>2619</v>
      </c>
      <c r="D167" s="1851" t="s">
        <v>2620</v>
      </c>
      <c r="E167" s="1851" t="s">
        <v>2621</v>
      </c>
      <c r="F167" s="1851" t="s">
        <v>2580</v>
      </c>
      <c r="G167" s="1851" t="s">
        <v>22</v>
      </c>
      <c r="H167" s="1851" t="s">
        <v>22</v>
      </c>
      <c r="I167" s="1851" t="s">
        <v>1054</v>
      </c>
    </row>
    <row customHeight="1" ht="11.25">
      <c r="A168" s="1851" t="s">
        <v>2569</v>
      </c>
      <c r="B168" s="1851" t="s">
        <v>16</v>
      </c>
      <c r="C168" s="1851" t="s">
        <v>3020</v>
      </c>
      <c r="D168" s="1851" t="s">
        <v>3021</v>
      </c>
      <c r="E168" s="1851" t="s">
        <v>3022</v>
      </c>
      <c r="F168" s="1851" t="s">
        <v>2601</v>
      </c>
      <c r="G168" s="1851" t="s">
        <v>3023</v>
      </c>
      <c r="H168" s="1851" t="s">
        <v>22</v>
      </c>
      <c r="I168" s="1851" t="s">
        <v>1054</v>
      </c>
    </row>
    <row customHeight="1" ht="11.25">
      <c r="A169" s="1851" t="s">
        <v>2569</v>
      </c>
      <c r="B169" s="1851" t="s">
        <v>16</v>
      </c>
      <c r="C169" s="1851" t="s">
        <v>2631</v>
      </c>
      <c r="D169" s="1851" t="s">
        <v>2632</v>
      </c>
      <c r="E169" s="1851" t="s">
        <v>2633</v>
      </c>
      <c r="F169" s="1851" t="s">
        <v>2634</v>
      </c>
      <c r="G169" s="1851" t="s">
        <v>2635</v>
      </c>
      <c r="H169" s="1851" t="s">
        <v>22</v>
      </c>
      <c r="I169" s="1851" t="s">
        <v>1054</v>
      </c>
    </row>
    <row customHeight="1" ht="11.25">
      <c r="A170" s="1851" t="s">
        <v>2569</v>
      </c>
      <c r="B170" s="1851" t="s">
        <v>16</v>
      </c>
      <c r="C170" s="1851" t="s">
        <v>3024</v>
      </c>
      <c r="D170" s="1851" t="s">
        <v>3025</v>
      </c>
      <c r="E170" s="1851" t="s">
        <v>3026</v>
      </c>
      <c r="F170" s="1851" t="s">
        <v>2580</v>
      </c>
      <c r="G170" s="1851" t="s">
        <v>22</v>
      </c>
      <c r="H170" s="1851" t="s">
        <v>22</v>
      </c>
      <c r="I170" s="1851" t="s">
        <v>1054</v>
      </c>
    </row>
    <row customHeight="1" ht="11.25">
      <c r="A171" s="1851" t="s">
        <v>2569</v>
      </c>
      <c r="B171" s="1851" t="s">
        <v>16</v>
      </c>
      <c r="C171" s="1851" t="s">
        <v>2639</v>
      </c>
      <c r="D171" s="1851" t="s">
        <v>2640</v>
      </c>
      <c r="E171" s="1851" t="s">
        <v>2641</v>
      </c>
      <c r="F171" s="1851" t="s">
        <v>2642</v>
      </c>
      <c r="G171" s="1851" t="s">
        <v>22</v>
      </c>
      <c r="H171" s="1851" t="s">
        <v>22</v>
      </c>
      <c r="I171" s="1851" t="s">
        <v>1054</v>
      </c>
    </row>
    <row customHeight="1" ht="11.25">
      <c r="A172" s="1851" t="s">
        <v>2569</v>
      </c>
      <c r="B172" s="1851" t="s">
        <v>16</v>
      </c>
      <c r="C172" s="1851" t="s">
        <v>3027</v>
      </c>
      <c r="D172" s="1851" t="s">
        <v>3028</v>
      </c>
      <c r="E172" s="1851" t="s">
        <v>3029</v>
      </c>
      <c r="F172" s="1851" t="s">
        <v>2990</v>
      </c>
      <c r="G172" s="1851" t="s">
        <v>3030</v>
      </c>
      <c r="H172" s="1851" t="s">
        <v>22</v>
      </c>
      <c r="I172" s="1851" t="s">
        <v>1054</v>
      </c>
    </row>
    <row customHeight="1" ht="11.25">
      <c r="A173" s="1851" t="s">
        <v>2569</v>
      </c>
      <c r="B173" s="1851" t="s">
        <v>16</v>
      </c>
      <c r="C173" s="1851" t="s">
        <v>2651</v>
      </c>
      <c r="D173" s="1851" t="s">
        <v>2652</v>
      </c>
      <c r="E173" s="1851" t="s">
        <v>2653</v>
      </c>
      <c r="F173" s="1851" t="s">
        <v>2572</v>
      </c>
      <c r="G173" s="1851" t="s">
        <v>2654</v>
      </c>
      <c r="H173" s="1851" t="s">
        <v>22</v>
      </c>
      <c r="I173" s="1851" t="s">
        <v>1054</v>
      </c>
    </row>
    <row customHeight="1" ht="11.25">
      <c r="A174" s="1851" t="s">
        <v>2569</v>
      </c>
      <c r="B174" s="1851" t="s">
        <v>16</v>
      </c>
      <c r="C174" s="1851" t="s">
        <v>3031</v>
      </c>
      <c r="D174" s="1851" t="s">
        <v>3032</v>
      </c>
      <c r="E174" s="1851" t="s">
        <v>3033</v>
      </c>
      <c r="F174" s="1851" t="s">
        <v>3034</v>
      </c>
      <c r="G174" s="1851" t="s">
        <v>22</v>
      </c>
      <c r="H174" s="1851" t="s">
        <v>22</v>
      </c>
      <c r="I174" s="1851" t="s">
        <v>1054</v>
      </c>
    </row>
    <row customHeight="1" ht="11.25">
      <c r="A175" s="1851" t="s">
        <v>2569</v>
      </c>
      <c r="B175" s="1851" t="s">
        <v>16</v>
      </c>
      <c r="C175" s="1851" t="s">
        <v>2673</v>
      </c>
      <c r="D175" s="1851" t="s">
        <v>2674</v>
      </c>
      <c r="E175" s="1851" t="s">
        <v>2671</v>
      </c>
      <c r="F175" s="1851" t="s">
        <v>2675</v>
      </c>
      <c r="G175" s="1851" t="s">
        <v>22</v>
      </c>
      <c r="H175" s="1851" t="s">
        <v>22</v>
      </c>
      <c r="I175" s="1851" t="s">
        <v>1054</v>
      </c>
    </row>
    <row customHeight="1" ht="11.25">
      <c r="A176" s="1851" t="s">
        <v>2569</v>
      </c>
      <c r="B176" s="1851" t="s">
        <v>16</v>
      </c>
      <c r="C176" s="1851" t="s">
        <v>3035</v>
      </c>
      <c r="D176" s="1851" t="s">
        <v>3036</v>
      </c>
      <c r="E176" s="1851" t="s">
        <v>3037</v>
      </c>
      <c r="F176" s="1851" t="s">
        <v>2709</v>
      </c>
      <c r="G176" s="1851" t="s">
        <v>22</v>
      </c>
      <c r="H176" s="1851" t="s">
        <v>3038</v>
      </c>
      <c r="I176" s="1851" t="s">
        <v>1054</v>
      </c>
    </row>
    <row customHeight="1" ht="11.25">
      <c r="A177" s="1851" t="s">
        <v>2569</v>
      </c>
      <c r="B177" s="1851" t="s">
        <v>16</v>
      </c>
      <c r="C177" s="1851" t="s">
        <v>2684</v>
      </c>
      <c r="D177" s="1851" t="s">
        <v>2685</v>
      </c>
      <c r="E177" s="1851" t="s">
        <v>2686</v>
      </c>
      <c r="F177" s="1851" t="s">
        <v>2625</v>
      </c>
      <c r="G177" s="1851" t="s">
        <v>22</v>
      </c>
      <c r="H177" s="1851" t="s">
        <v>22</v>
      </c>
      <c r="I177" s="1851" t="s">
        <v>1054</v>
      </c>
    </row>
    <row customHeight="1" ht="11.25">
      <c r="A178" s="1851" t="s">
        <v>2569</v>
      </c>
      <c r="B178" s="1851" t="s">
        <v>16</v>
      </c>
      <c r="C178" s="1851" t="s">
        <v>3039</v>
      </c>
      <c r="D178" s="1851" t="s">
        <v>3040</v>
      </c>
      <c r="E178" s="1851" t="s">
        <v>3041</v>
      </c>
      <c r="F178" s="1851" t="s">
        <v>713</v>
      </c>
      <c r="G178" s="1851" t="s">
        <v>22</v>
      </c>
      <c r="H178" s="1851" t="s">
        <v>22</v>
      </c>
      <c r="I178" s="1851" t="s">
        <v>1054</v>
      </c>
    </row>
    <row customHeight="1" ht="11.25">
      <c r="A179" s="1851" t="s">
        <v>2569</v>
      </c>
      <c r="B179" s="1851" t="s">
        <v>16</v>
      </c>
      <c r="C179" s="1851" t="s">
        <v>3042</v>
      </c>
      <c r="D179" s="1851" t="s">
        <v>3043</v>
      </c>
      <c r="E179" s="1851" t="s">
        <v>3044</v>
      </c>
      <c r="F179" s="1851" t="s">
        <v>713</v>
      </c>
      <c r="G179" s="1851" t="s">
        <v>22</v>
      </c>
      <c r="H179" s="1851" t="s">
        <v>22</v>
      </c>
      <c r="I179" s="1851" t="s">
        <v>1054</v>
      </c>
    </row>
    <row customHeight="1" ht="11.25">
      <c r="A180" s="1851" t="s">
        <v>2569</v>
      </c>
      <c r="B180" s="1851" t="s">
        <v>16</v>
      </c>
      <c r="C180" s="1851" t="s">
        <v>3045</v>
      </c>
      <c r="D180" s="1851" t="s">
        <v>3046</v>
      </c>
      <c r="E180" s="1851" t="s">
        <v>3047</v>
      </c>
      <c r="F180" s="1851" t="s">
        <v>713</v>
      </c>
      <c r="G180" s="1851" t="s">
        <v>22</v>
      </c>
      <c r="H180" s="1851" t="s">
        <v>22</v>
      </c>
      <c r="I180" s="1851" t="s">
        <v>1054</v>
      </c>
    </row>
    <row customHeight="1" ht="11.25">
      <c r="A181" s="1851" t="s">
        <v>2569</v>
      </c>
      <c r="B181" s="1851" t="s">
        <v>16</v>
      </c>
      <c r="C181" s="1851" t="s">
        <v>2710</v>
      </c>
      <c r="D181" s="1851" t="s">
        <v>2711</v>
      </c>
      <c r="E181" s="1851" t="s">
        <v>2712</v>
      </c>
      <c r="F181" s="1851" t="s">
        <v>2679</v>
      </c>
      <c r="G181" s="1851" t="s">
        <v>22</v>
      </c>
      <c r="H181" s="1851" t="s">
        <v>22</v>
      </c>
      <c r="I181" s="1851" t="s">
        <v>1054</v>
      </c>
    </row>
    <row customHeight="1" ht="11.25">
      <c r="A182" s="1851" t="s">
        <v>2569</v>
      </c>
      <c r="B182" s="1851" t="s">
        <v>16</v>
      </c>
      <c r="C182" s="1851" t="s">
        <v>3048</v>
      </c>
      <c r="D182" s="1851" t="s">
        <v>45</v>
      </c>
      <c r="E182" s="1851" t="s">
        <v>48</v>
      </c>
      <c r="F182" s="1851" t="s">
        <v>3049</v>
      </c>
      <c r="G182" s="1851" t="s">
        <v>22</v>
      </c>
      <c r="H182" s="1851" t="s">
        <v>22</v>
      </c>
      <c r="I182" s="1851" t="s">
        <v>1054</v>
      </c>
    </row>
    <row customHeight="1" ht="11.25">
      <c r="A183" s="1851" t="s">
        <v>2569</v>
      </c>
      <c r="B183" s="1851" t="s">
        <v>16</v>
      </c>
      <c r="C183" s="1851" t="s">
        <v>2997</v>
      </c>
      <c r="D183" s="1851" t="s">
        <v>45</v>
      </c>
      <c r="E183" s="1851" t="s">
        <v>48</v>
      </c>
      <c r="F183" s="1851" t="s">
        <v>2998</v>
      </c>
      <c r="G183" s="1851" t="s">
        <v>22</v>
      </c>
      <c r="H183" s="1851" t="s">
        <v>22</v>
      </c>
      <c r="I183" s="1851" t="s">
        <v>1054</v>
      </c>
    </row>
    <row customHeight="1" ht="11.25">
      <c r="A184" s="1851" t="s">
        <v>2569</v>
      </c>
      <c r="B184" s="1851" t="s">
        <v>16</v>
      </c>
      <c r="C184" s="1851" t="s">
        <v>2999</v>
      </c>
      <c r="D184" s="1851" t="s">
        <v>45</v>
      </c>
      <c r="E184" s="1851" t="s">
        <v>48</v>
      </c>
      <c r="F184" s="1851" t="s">
        <v>3000</v>
      </c>
      <c r="G184" s="1851" t="s">
        <v>22</v>
      </c>
      <c r="H184" s="1851" t="s">
        <v>22</v>
      </c>
      <c r="I184" s="1851" t="s">
        <v>1054</v>
      </c>
    </row>
    <row customHeight="1" ht="11.25">
      <c r="A185" s="1851" t="s">
        <v>2569</v>
      </c>
      <c r="B185" s="1851" t="s">
        <v>16</v>
      </c>
      <c r="C185" s="1851" t="s">
        <v>3001</v>
      </c>
      <c r="D185" s="1851" t="s">
        <v>45</v>
      </c>
      <c r="E185" s="1851" t="s">
        <v>48</v>
      </c>
      <c r="F185" s="1851" t="s">
        <v>3002</v>
      </c>
      <c r="G185" s="1851" t="s">
        <v>22</v>
      </c>
      <c r="H185" s="1851" t="s">
        <v>22</v>
      </c>
      <c r="I185" s="1851" t="s">
        <v>1054</v>
      </c>
    </row>
    <row customHeight="1" ht="11.25">
      <c r="A186" s="1851" t="s">
        <v>2569</v>
      </c>
      <c r="B186" s="1851" t="s">
        <v>16</v>
      </c>
      <c r="C186" s="1851" t="s">
        <v>3050</v>
      </c>
      <c r="D186" s="1851" t="s">
        <v>45</v>
      </c>
      <c r="E186" s="1851" t="s">
        <v>48</v>
      </c>
      <c r="F186" s="1851" t="s">
        <v>3051</v>
      </c>
      <c r="G186" s="1851" t="s">
        <v>22</v>
      </c>
      <c r="H186" s="1851" t="s">
        <v>22</v>
      </c>
      <c r="I186" s="1851" t="s">
        <v>1054</v>
      </c>
    </row>
    <row customHeight="1" ht="11.25">
      <c r="A187" s="1851" t="s">
        <v>2569</v>
      </c>
      <c r="B187" s="1851" t="s">
        <v>16</v>
      </c>
      <c r="C187" s="1851" t="s">
        <v>3003</v>
      </c>
      <c r="D187" s="1851" t="s">
        <v>45</v>
      </c>
      <c r="E187" s="1851" t="s">
        <v>48</v>
      </c>
      <c r="F187" s="1851" t="s">
        <v>3004</v>
      </c>
      <c r="G187" s="1851" t="s">
        <v>22</v>
      </c>
      <c r="H187" s="1851" t="s">
        <v>22</v>
      </c>
      <c r="I187" s="1851" t="s">
        <v>1054</v>
      </c>
    </row>
    <row customHeight="1" ht="11.25">
      <c r="A188" s="1851" t="s">
        <v>2569</v>
      </c>
      <c r="B188" s="1851" t="s">
        <v>16</v>
      </c>
      <c r="C188" s="1851" t="s">
        <v>3005</v>
      </c>
      <c r="D188" s="1851" t="s">
        <v>45</v>
      </c>
      <c r="E188" s="1851" t="s">
        <v>48</v>
      </c>
      <c r="F188" s="1851" t="s">
        <v>3006</v>
      </c>
      <c r="G188" s="1851" t="s">
        <v>22</v>
      </c>
      <c r="H188" s="1851" t="s">
        <v>22</v>
      </c>
      <c r="I188" s="1851" t="s">
        <v>1054</v>
      </c>
    </row>
    <row customHeight="1" ht="11.25">
      <c r="A189" s="1851" t="s">
        <v>2569</v>
      </c>
      <c r="B189" s="1851" t="s">
        <v>16</v>
      </c>
      <c r="C189" s="1851" t="s">
        <v>3007</v>
      </c>
      <c r="D189" s="1851" t="s">
        <v>45</v>
      </c>
      <c r="E189" s="1851" t="s">
        <v>48</v>
      </c>
      <c r="F189" s="1851" t="s">
        <v>3008</v>
      </c>
      <c r="G189" s="1851" t="s">
        <v>22</v>
      </c>
      <c r="H189" s="1851" t="s">
        <v>22</v>
      </c>
      <c r="I189" s="1851" t="s">
        <v>1054</v>
      </c>
    </row>
    <row customHeight="1" ht="11.25">
      <c r="A190" s="1851" t="s">
        <v>2569</v>
      </c>
      <c r="B190" s="1851" t="s">
        <v>16</v>
      </c>
      <c r="C190" s="1851" t="s">
        <v>3009</v>
      </c>
      <c r="D190" s="1851" t="s">
        <v>45</v>
      </c>
      <c r="E190" s="1851" t="s">
        <v>48</v>
      </c>
      <c r="F190" s="1851" t="s">
        <v>3010</v>
      </c>
      <c r="G190" s="1851" t="s">
        <v>22</v>
      </c>
      <c r="H190" s="1851" t="s">
        <v>22</v>
      </c>
      <c r="I190" s="1851" t="s">
        <v>1054</v>
      </c>
    </row>
    <row customHeight="1" ht="11.25">
      <c r="A191" s="1851" t="s">
        <v>2569</v>
      </c>
      <c r="B191" s="1851" t="s">
        <v>16</v>
      </c>
      <c r="C191" s="1851" t="s">
        <v>3011</v>
      </c>
      <c r="D191" s="1851" t="s">
        <v>45</v>
      </c>
      <c r="E191" s="1851" t="s">
        <v>48</v>
      </c>
      <c r="F191" s="1851" t="s">
        <v>3012</v>
      </c>
      <c r="G191" s="1851" t="s">
        <v>22</v>
      </c>
      <c r="H191" s="1851" t="s">
        <v>22</v>
      </c>
      <c r="I191" s="1851" t="s">
        <v>1054</v>
      </c>
    </row>
    <row customHeight="1" ht="11.25">
      <c r="A192" s="1851" t="s">
        <v>2569</v>
      </c>
      <c r="B192" s="1851" t="s">
        <v>16</v>
      </c>
      <c r="C192" s="1851" t="s">
        <v>13</v>
      </c>
      <c r="D192" s="1851" t="s">
        <v>45</v>
      </c>
      <c r="E192" s="1851" t="s">
        <v>48</v>
      </c>
      <c r="F192" s="1851" t="s">
        <v>50</v>
      </c>
      <c r="G192" s="1851" t="s">
        <v>22</v>
      </c>
      <c r="H192" s="1851" t="s">
        <v>22</v>
      </c>
      <c r="I192" s="1851" t="s">
        <v>1054</v>
      </c>
    </row>
    <row customHeight="1" ht="11.25">
      <c r="A193" s="1851" t="s">
        <v>2569</v>
      </c>
      <c r="B193" s="1851" t="s">
        <v>16</v>
      </c>
      <c r="C193" s="1851" t="s">
        <v>3052</v>
      </c>
      <c r="D193" s="1851" t="s">
        <v>3053</v>
      </c>
      <c r="E193" s="1851" t="s">
        <v>3054</v>
      </c>
      <c r="F193" s="1851" t="s">
        <v>2601</v>
      </c>
      <c r="G193" s="1851" t="s">
        <v>22</v>
      </c>
      <c r="H193" s="1851" t="s">
        <v>22</v>
      </c>
      <c r="I193" s="1851" t="s">
        <v>1054</v>
      </c>
    </row>
    <row customHeight="1" ht="11.25">
      <c r="A194" s="1851" t="s">
        <v>2569</v>
      </c>
      <c r="B194" s="1851" t="s">
        <v>16</v>
      </c>
      <c r="C194" s="1851" t="s">
        <v>3055</v>
      </c>
      <c r="D194" s="1851" t="s">
        <v>3053</v>
      </c>
      <c r="E194" s="1851" t="s">
        <v>3054</v>
      </c>
      <c r="F194" s="1851" t="s">
        <v>3056</v>
      </c>
      <c r="G194" s="1851" t="s">
        <v>22</v>
      </c>
      <c r="H194" s="1851" t="s">
        <v>22</v>
      </c>
      <c r="I194" s="1851" t="s">
        <v>1054</v>
      </c>
    </row>
    <row customHeight="1" ht="11.25">
      <c r="A195" s="1851" t="s">
        <v>2569</v>
      </c>
      <c r="B195" s="1851" t="s">
        <v>16</v>
      </c>
      <c r="C195" s="1851" t="s">
        <v>3057</v>
      </c>
      <c r="D195" s="1851" t="s">
        <v>3014</v>
      </c>
      <c r="E195" s="1851" t="s">
        <v>48</v>
      </c>
      <c r="F195" s="1851" t="s">
        <v>3058</v>
      </c>
      <c r="G195" s="1851" t="s">
        <v>22</v>
      </c>
      <c r="H195" s="1851" t="s">
        <v>22</v>
      </c>
      <c r="I195" s="1851" t="s">
        <v>1054</v>
      </c>
    </row>
    <row customHeight="1" ht="11.25">
      <c r="A196" s="1851" t="s">
        <v>2569</v>
      </c>
      <c r="B196" s="1851" t="s">
        <v>16</v>
      </c>
      <c r="C196" s="1851" t="s">
        <v>3013</v>
      </c>
      <c r="D196" s="1851" t="s">
        <v>3014</v>
      </c>
      <c r="E196" s="1851" t="s">
        <v>48</v>
      </c>
      <c r="F196" s="1851" t="s">
        <v>3015</v>
      </c>
      <c r="G196" s="1851" t="s">
        <v>22</v>
      </c>
      <c r="H196" s="1851" t="s">
        <v>22</v>
      </c>
      <c r="I196" s="1851" t="s">
        <v>1054</v>
      </c>
    </row>
    <row customHeight="1" ht="11.25">
      <c r="A197" s="1851" t="s">
        <v>2569</v>
      </c>
      <c r="B197" s="1851" t="s">
        <v>16</v>
      </c>
      <c r="C197" s="1851" t="s">
        <v>3059</v>
      </c>
      <c r="D197" s="1851" t="s">
        <v>3060</v>
      </c>
      <c r="E197" s="1851" t="s">
        <v>3061</v>
      </c>
      <c r="F197" s="1851" t="s">
        <v>2613</v>
      </c>
      <c r="G197" s="1851" t="s">
        <v>22</v>
      </c>
      <c r="H197" s="1851" t="s">
        <v>22</v>
      </c>
      <c r="I197" s="1851" t="s">
        <v>1054</v>
      </c>
    </row>
    <row customHeight="1" ht="11.25">
      <c r="A198" s="1851" t="s">
        <v>2569</v>
      </c>
      <c r="B198" s="1851" t="s">
        <v>16</v>
      </c>
      <c r="C198" s="1851" t="s">
        <v>3062</v>
      </c>
      <c r="D198" s="1851" t="s">
        <v>3063</v>
      </c>
      <c r="E198" s="1851" t="s">
        <v>3064</v>
      </c>
      <c r="F198" s="1851" t="s">
        <v>2799</v>
      </c>
      <c r="G198" s="1851" t="s">
        <v>22</v>
      </c>
      <c r="H198" s="1851" t="s">
        <v>22</v>
      </c>
      <c r="I198" s="1851" t="s">
        <v>1054</v>
      </c>
    </row>
    <row customHeight="1" ht="11.25">
      <c r="A199" s="1851" t="s">
        <v>2569</v>
      </c>
      <c r="B199" s="1851" t="s">
        <v>16</v>
      </c>
      <c r="C199" s="1851" t="s">
        <v>3065</v>
      </c>
      <c r="D199" s="1851" t="s">
        <v>3066</v>
      </c>
      <c r="E199" s="1851" t="s">
        <v>3067</v>
      </c>
      <c r="F199" s="1851" t="s">
        <v>2908</v>
      </c>
      <c r="G199" s="1851" t="s">
        <v>22</v>
      </c>
      <c r="H199" s="1851" t="s">
        <v>22</v>
      </c>
      <c r="I199" s="1851" t="s">
        <v>1054</v>
      </c>
    </row>
    <row customHeight="1" ht="11.25">
      <c r="A200" s="1851" t="s">
        <v>2569</v>
      </c>
      <c r="B200" s="1851" t="s">
        <v>16</v>
      </c>
      <c r="C200" s="1851" t="s">
        <v>3068</v>
      </c>
      <c r="D200" s="1851" t="s">
        <v>3069</v>
      </c>
      <c r="E200" s="1851" t="s">
        <v>3070</v>
      </c>
      <c r="F200" s="1851" t="s">
        <v>2634</v>
      </c>
      <c r="G200" s="1851" t="s">
        <v>22</v>
      </c>
      <c r="H200" s="1851" t="s">
        <v>22</v>
      </c>
      <c r="I200" s="1851" t="s">
        <v>1054</v>
      </c>
    </row>
    <row customHeight="1" ht="11.25">
      <c r="A201" s="1851" t="s">
        <v>2569</v>
      </c>
      <c r="B201" s="1851" t="s">
        <v>16</v>
      </c>
      <c r="C201" s="1851" t="s">
        <v>3071</v>
      </c>
      <c r="D201" s="1851" t="s">
        <v>3072</v>
      </c>
      <c r="E201" s="1851" t="s">
        <v>3073</v>
      </c>
      <c r="F201" s="1851" t="s">
        <v>2726</v>
      </c>
      <c r="G201" s="1851" t="s">
        <v>22</v>
      </c>
      <c r="H201" s="1851" t="s">
        <v>22</v>
      </c>
      <c r="I201" s="1851" t="s">
        <v>1054</v>
      </c>
    </row>
    <row customHeight="1" ht="11.25">
      <c r="A202" s="1851" t="s">
        <v>2569</v>
      </c>
      <c r="B202" s="1851" t="s">
        <v>16</v>
      </c>
      <c r="C202" s="1851" t="s">
        <v>3074</v>
      </c>
      <c r="D202" s="1851" t="s">
        <v>3075</v>
      </c>
      <c r="E202" s="1851" t="s">
        <v>3076</v>
      </c>
      <c r="F202" s="1851" t="s">
        <v>3077</v>
      </c>
      <c r="G202" s="1851" t="s">
        <v>22</v>
      </c>
      <c r="H202" s="1851" t="s">
        <v>22</v>
      </c>
      <c r="I202" s="1851" t="s">
        <v>1054</v>
      </c>
    </row>
    <row customHeight="1" ht="11.25">
      <c r="A203" s="1851" t="s">
        <v>2569</v>
      </c>
      <c r="B203" s="1851" t="s">
        <v>16</v>
      </c>
      <c r="C203" s="1851" t="s">
        <v>3078</v>
      </c>
      <c r="D203" s="1851" t="s">
        <v>3079</v>
      </c>
      <c r="E203" s="1851" t="s">
        <v>3080</v>
      </c>
      <c r="F203" s="1851" t="s">
        <v>2634</v>
      </c>
      <c r="G203" s="1851" t="s">
        <v>22</v>
      </c>
      <c r="H203" s="1851" t="s">
        <v>22</v>
      </c>
      <c r="I203" s="1851" t="s">
        <v>1054</v>
      </c>
    </row>
    <row customHeight="1" ht="11.25">
      <c r="A204" s="1851" t="s">
        <v>2569</v>
      </c>
      <c r="B204" s="1851" t="s">
        <v>16</v>
      </c>
      <c r="C204" s="1851" t="s">
        <v>2723</v>
      </c>
      <c r="D204" s="1851" t="s">
        <v>2724</v>
      </c>
      <c r="E204" s="1851" t="s">
        <v>2725</v>
      </c>
      <c r="F204" s="1851" t="s">
        <v>2726</v>
      </c>
      <c r="G204" s="1851" t="s">
        <v>22</v>
      </c>
      <c r="H204" s="1851" t="s">
        <v>22</v>
      </c>
      <c r="I204" s="1851" t="s">
        <v>1054</v>
      </c>
    </row>
    <row customHeight="1" ht="11.25">
      <c r="A205" s="1851" t="s">
        <v>2569</v>
      </c>
      <c r="B205" s="1851" t="s">
        <v>16</v>
      </c>
      <c r="C205" s="1851" t="s">
        <v>3081</v>
      </c>
      <c r="D205" s="1851" t="s">
        <v>3082</v>
      </c>
      <c r="E205" s="1851" t="s">
        <v>3083</v>
      </c>
      <c r="F205" s="1851" t="s">
        <v>2743</v>
      </c>
      <c r="G205" s="1851" t="s">
        <v>3084</v>
      </c>
      <c r="H205" s="1851" t="s">
        <v>22</v>
      </c>
      <c r="I205" s="1851" t="s">
        <v>1054</v>
      </c>
    </row>
    <row customHeight="1" ht="11.25">
      <c r="A206" s="1851" t="s">
        <v>2569</v>
      </c>
      <c r="B206" s="1851" t="s">
        <v>16</v>
      </c>
      <c r="C206" s="1851" t="s">
        <v>3085</v>
      </c>
      <c r="D206" s="1851" t="s">
        <v>3086</v>
      </c>
      <c r="E206" s="1851" t="s">
        <v>3087</v>
      </c>
      <c r="F206" s="1851" t="s">
        <v>3088</v>
      </c>
      <c r="G206" s="1851" t="s">
        <v>22</v>
      </c>
      <c r="H206" s="1851" t="s">
        <v>22</v>
      </c>
      <c r="I206" s="1851" t="s">
        <v>1054</v>
      </c>
    </row>
    <row customHeight="1" ht="11.25">
      <c r="A207" s="1851" t="s">
        <v>2569</v>
      </c>
      <c r="B207" s="1851" t="s">
        <v>16</v>
      </c>
      <c r="C207" s="1851" t="s">
        <v>3089</v>
      </c>
      <c r="D207" s="1851" t="s">
        <v>3090</v>
      </c>
      <c r="E207" s="1851" t="s">
        <v>3091</v>
      </c>
      <c r="F207" s="1851" t="s">
        <v>2613</v>
      </c>
      <c r="G207" s="1851" t="s">
        <v>3092</v>
      </c>
      <c r="H207" s="1851" t="s">
        <v>22</v>
      </c>
      <c r="I207" s="1851" t="s">
        <v>1054</v>
      </c>
    </row>
    <row customHeight="1" ht="11.25">
      <c r="A208" s="1851" t="s">
        <v>2569</v>
      </c>
      <c r="B208" s="1851" t="s">
        <v>16</v>
      </c>
      <c r="C208" s="1851" t="s">
        <v>3093</v>
      </c>
      <c r="D208" s="1851" t="s">
        <v>3094</v>
      </c>
      <c r="E208" s="1851" t="s">
        <v>3095</v>
      </c>
      <c r="F208" s="1851" t="s">
        <v>2613</v>
      </c>
      <c r="G208" s="1851" t="s">
        <v>3096</v>
      </c>
      <c r="H208" s="1851" t="s">
        <v>22</v>
      </c>
      <c r="I208" s="1851" t="s">
        <v>1054</v>
      </c>
    </row>
    <row customHeight="1" ht="11.25">
      <c r="A209" s="1851" t="s">
        <v>2569</v>
      </c>
      <c r="B209" s="1851" t="s">
        <v>16</v>
      </c>
      <c r="C209" s="1851" t="s">
        <v>2730</v>
      </c>
      <c r="D209" s="1851" t="s">
        <v>2731</v>
      </c>
      <c r="E209" s="1851" t="s">
        <v>2732</v>
      </c>
      <c r="F209" s="1851" t="s">
        <v>2733</v>
      </c>
      <c r="G209" s="1851" t="s">
        <v>22</v>
      </c>
      <c r="H209" s="1851" t="s">
        <v>22</v>
      </c>
      <c r="I209" s="1851" t="s">
        <v>1054</v>
      </c>
    </row>
    <row customHeight="1" ht="11.25">
      <c r="A210" s="1851" t="s">
        <v>2569</v>
      </c>
      <c r="B210" s="1851" t="s">
        <v>16</v>
      </c>
      <c r="C210" s="1851" t="s">
        <v>2734</v>
      </c>
      <c r="D210" s="1851" t="s">
        <v>2735</v>
      </c>
      <c r="E210" s="1851" t="s">
        <v>2736</v>
      </c>
      <c r="F210" s="1851" t="s">
        <v>2609</v>
      </c>
      <c r="G210" s="1851" t="s">
        <v>22</v>
      </c>
      <c r="H210" s="1851" t="s">
        <v>22</v>
      </c>
      <c r="I210" s="1851" t="s">
        <v>1054</v>
      </c>
    </row>
    <row customHeight="1" ht="11.25">
      <c r="A211" s="1851" t="s">
        <v>2569</v>
      </c>
      <c r="B211" s="1851" t="s">
        <v>16</v>
      </c>
      <c r="C211" s="1851" t="s">
        <v>2737</v>
      </c>
      <c r="D211" s="1851" t="s">
        <v>2738</v>
      </c>
      <c r="E211" s="1851" t="s">
        <v>2739</v>
      </c>
      <c r="F211" s="1851" t="s">
        <v>2609</v>
      </c>
      <c r="G211" s="1851" t="s">
        <v>22</v>
      </c>
      <c r="H211" s="1851" t="s">
        <v>22</v>
      </c>
      <c r="I211" s="1851" t="s">
        <v>1054</v>
      </c>
    </row>
    <row customHeight="1" ht="11.25">
      <c r="A212" s="1851" t="s">
        <v>2569</v>
      </c>
      <c r="B212" s="1851" t="s">
        <v>16</v>
      </c>
      <c r="C212" s="1851" t="s">
        <v>2740</v>
      </c>
      <c r="D212" s="1851" t="s">
        <v>2741</v>
      </c>
      <c r="E212" s="1851" t="s">
        <v>2742</v>
      </c>
      <c r="F212" s="1851" t="s">
        <v>2743</v>
      </c>
      <c r="G212" s="1851" t="s">
        <v>22</v>
      </c>
      <c r="H212" s="1851" t="s">
        <v>22</v>
      </c>
      <c r="I212" s="1851" t="s">
        <v>1054</v>
      </c>
    </row>
    <row customHeight="1" ht="11.25">
      <c r="A213" s="1851" t="s">
        <v>2569</v>
      </c>
      <c r="B213" s="1851" t="s">
        <v>16</v>
      </c>
      <c r="C213" s="1851" t="s">
        <v>3097</v>
      </c>
      <c r="D213" s="1851" t="s">
        <v>3098</v>
      </c>
      <c r="E213" s="1851" t="s">
        <v>3099</v>
      </c>
      <c r="F213" s="1851" t="s">
        <v>2679</v>
      </c>
      <c r="G213" s="1851" t="s">
        <v>22</v>
      </c>
      <c r="H213" s="1851" t="s">
        <v>22</v>
      </c>
      <c r="I213" s="1851" t="s">
        <v>1054</v>
      </c>
    </row>
    <row customHeight="1" ht="11.25">
      <c r="A214" s="1851" t="s">
        <v>2569</v>
      </c>
      <c r="B214" s="1851" t="s">
        <v>16</v>
      </c>
      <c r="C214" s="1851" t="s">
        <v>3100</v>
      </c>
      <c r="D214" s="1851" t="s">
        <v>3101</v>
      </c>
      <c r="E214" s="1851" t="s">
        <v>3102</v>
      </c>
      <c r="F214" s="1851" t="s">
        <v>2642</v>
      </c>
      <c r="G214" s="1851" t="s">
        <v>3103</v>
      </c>
      <c r="H214" s="1851" t="s">
        <v>22</v>
      </c>
      <c r="I214" s="1851" t="s">
        <v>1054</v>
      </c>
    </row>
    <row customHeight="1" ht="11.25">
      <c r="A215" s="1851" t="s">
        <v>2569</v>
      </c>
      <c r="B215" s="1851" t="s">
        <v>16</v>
      </c>
      <c r="C215" s="1851" t="s">
        <v>3104</v>
      </c>
      <c r="D215" s="1851" t="s">
        <v>3105</v>
      </c>
      <c r="E215" s="1851" t="s">
        <v>3106</v>
      </c>
      <c r="F215" s="1851" t="s">
        <v>2701</v>
      </c>
      <c r="G215" s="1851" t="s">
        <v>3107</v>
      </c>
      <c r="H215" s="1851" t="s">
        <v>22</v>
      </c>
      <c r="I215" s="1851" t="s">
        <v>1054</v>
      </c>
    </row>
    <row customHeight="1" ht="11.25">
      <c r="A216" s="1851" t="s">
        <v>2569</v>
      </c>
      <c r="B216" s="1851" t="s">
        <v>16</v>
      </c>
      <c r="C216" s="1851" t="s">
        <v>2744</v>
      </c>
      <c r="D216" s="1851" t="s">
        <v>2745</v>
      </c>
      <c r="E216" s="1851" t="s">
        <v>2746</v>
      </c>
      <c r="F216" s="1851" t="s">
        <v>2613</v>
      </c>
      <c r="G216" s="1851" t="s">
        <v>22</v>
      </c>
      <c r="H216" s="1851" t="s">
        <v>22</v>
      </c>
      <c r="I216" s="1851" t="s">
        <v>1054</v>
      </c>
    </row>
    <row customHeight="1" ht="11.25">
      <c r="A217" s="1851" t="s">
        <v>2569</v>
      </c>
      <c r="B217" s="1851" t="s">
        <v>16</v>
      </c>
      <c r="C217" s="1851" t="s">
        <v>3108</v>
      </c>
      <c r="D217" s="1851" t="s">
        <v>3109</v>
      </c>
      <c r="E217" s="1851" t="s">
        <v>3110</v>
      </c>
      <c r="F217" s="1851" t="s">
        <v>3077</v>
      </c>
      <c r="G217" s="1851" t="s">
        <v>22</v>
      </c>
      <c r="H217" s="1851" t="s">
        <v>22</v>
      </c>
      <c r="I217" s="1851" t="s">
        <v>1054</v>
      </c>
    </row>
    <row customHeight="1" ht="11.25">
      <c r="A218" s="1851" t="s">
        <v>2569</v>
      </c>
      <c r="B218" s="1851" t="s">
        <v>16</v>
      </c>
      <c r="C218" s="1851" t="s">
        <v>2747</v>
      </c>
      <c r="D218" s="1851" t="s">
        <v>2748</v>
      </c>
      <c r="E218" s="1851" t="s">
        <v>2749</v>
      </c>
      <c r="F218" s="1851" t="s">
        <v>2733</v>
      </c>
      <c r="G218" s="1851" t="s">
        <v>22</v>
      </c>
      <c r="H218" s="1851" t="s">
        <v>22</v>
      </c>
      <c r="I218" s="1851" t="s">
        <v>1054</v>
      </c>
    </row>
    <row customHeight="1" ht="11.25">
      <c r="A219" s="1851" t="s">
        <v>2569</v>
      </c>
      <c r="B219" s="1851" t="s">
        <v>16</v>
      </c>
      <c r="C219" s="1851" t="s">
        <v>3111</v>
      </c>
      <c r="D219" s="1851" t="s">
        <v>3112</v>
      </c>
      <c r="E219" s="1851" t="s">
        <v>3113</v>
      </c>
      <c r="F219" s="1851" t="s">
        <v>2642</v>
      </c>
      <c r="G219" s="1851" t="s">
        <v>22</v>
      </c>
      <c r="H219" s="1851" t="s">
        <v>22</v>
      </c>
      <c r="I219" s="1851" t="s">
        <v>1054</v>
      </c>
    </row>
    <row customHeight="1" ht="11.25">
      <c r="A220" s="1851" t="s">
        <v>2569</v>
      </c>
      <c r="B220" s="1851" t="s">
        <v>16</v>
      </c>
      <c r="C220" s="1851" t="s">
        <v>3114</v>
      </c>
      <c r="D220" s="1851" t="s">
        <v>3115</v>
      </c>
      <c r="E220" s="1851" t="s">
        <v>3116</v>
      </c>
      <c r="F220" s="1851" t="s">
        <v>2990</v>
      </c>
      <c r="G220" s="1851" t="s">
        <v>22</v>
      </c>
      <c r="H220" s="1851" t="s">
        <v>22</v>
      </c>
      <c r="I220" s="1851" t="s">
        <v>1054</v>
      </c>
    </row>
    <row customHeight="1" ht="11.25">
      <c r="A221" s="1851" t="s">
        <v>2569</v>
      </c>
      <c r="B221" s="1851" t="s">
        <v>16</v>
      </c>
      <c r="C221" s="1851" t="s">
        <v>3117</v>
      </c>
      <c r="D221" s="1851" t="s">
        <v>3118</v>
      </c>
      <c r="E221" s="1851" t="s">
        <v>3119</v>
      </c>
      <c r="F221" s="1851" t="s">
        <v>2576</v>
      </c>
      <c r="G221" s="1851" t="s">
        <v>22</v>
      </c>
      <c r="H221" s="1851" t="s">
        <v>22</v>
      </c>
      <c r="I221" s="1851" t="s">
        <v>1054</v>
      </c>
    </row>
    <row customHeight="1" ht="11.25">
      <c r="A222" s="1851" t="s">
        <v>2569</v>
      </c>
      <c r="B222" s="1851" t="s">
        <v>16</v>
      </c>
      <c r="C222" s="1851" t="s">
        <v>2750</v>
      </c>
      <c r="D222" s="1851" t="s">
        <v>2751</v>
      </c>
      <c r="E222" s="1851" t="s">
        <v>2752</v>
      </c>
      <c r="F222" s="1851" t="s">
        <v>2753</v>
      </c>
      <c r="G222" s="1851" t="s">
        <v>22</v>
      </c>
      <c r="H222" s="1851" t="s">
        <v>22</v>
      </c>
      <c r="I222" s="1851" t="s">
        <v>1054</v>
      </c>
    </row>
    <row customHeight="1" ht="11.25">
      <c r="A223" s="1851" t="s">
        <v>2569</v>
      </c>
      <c r="B223" s="1851" t="s">
        <v>16</v>
      </c>
      <c r="C223" s="1851" t="s">
        <v>3120</v>
      </c>
      <c r="D223" s="1851" t="s">
        <v>3121</v>
      </c>
      <c r="E223" s="1851" t="s">
        <v>3122</v>
      </c>
      <c r="F223" s="1851" t="s">
        <v>2990</v>
      </c>
      <c r="G223" s="1851" t="s">
        <v>22</v>
      </c>
      <c r="H223" s="1851" t="s">
        <v>22</v>
      </c>
      <c r="I223" s="1851" t="s">
        <v>1054</v>
      </c>
    </row>
    <row customHeight="1" ht="11.25">
      <c r="A224" s="1851" t="s">
        <v>2569</v>
      </c>
      <c r="B224" s="1851" t="s">
        <v>16</v>
      </c>
      <c r="C224" s="1851" t="s">
        <v>2754</v>
      </c>
      <c r="D224" s="1851" t="s">
        <v>2755</v>
      </c>
      <c r="E224" s="1851" t="s">
        <v>2756</v>
      </c>
      <c r="F224" s="1851" t="s">
        <v>50</v>
      </c>
      <c r="G224" s="1851" t="s">
        <v>22</v>
      </c>
      <c r="H224" s="1851" t="s">
        <v>22</v>
      </c>
      <c r="I224" s="1851" t="s">
        <v>1054</v>
      </c>
    </row>
    <row customHeight="1" ht="11.25">
      <c r="A225" s="1851" t="s">
        <v>2569</v>
      </c>
      <c r="B225" s="1851" t="s">
        <v>16</v>
      </c>
      <c r="C225" s="1851" t="s">
        <v>2764</v>
      </c>
      <c r="D225" s="1851" t="s">
        <v>2765</v>
      </c>
      <c r="E225" s="1851" t="s">
        <v>2766</v>
      </c>
      <c r="F225" s="1851" t="s">
        <v>2767</v>
      </c>
      <c r="G225" s="1851" t="s">
        <v>22</v>
      </c>
      <c r="H225" s="1851" t="s">
        <v>22</v>
      </c>
      <c r="I225" s="1851" t="s">
        <v>1054</v>
      </c>
    </row>
    <row customHeight="1" ht="11.25">
      <c r="A226" s="1851" t="s">
        <v>2569</v>
      </c>
      <c r="B226" s="1851" t="s">
        <v>16</v>
      </c>
      <c r="C226" s="1851" t="s">
        <v>3123</v>
      </c>
      <c r="D226" s="1851" t="s">
        <v>3124</v>
      </c>
      <c r="E226" s="1851" t="s">
        <v>2587</v>
      </c>
      <c r="F226" s="1851" t="s">
        <v>3125</v>
      </c>
      <c r="G226" s="1851" t="s">
        <v>22</v>
      </c>
      <c r="H226" s="1851" t="s">
        <v>22</v>
      </c>
      <c r="I226" s="1851" t="s">
        <v>1054</v>
      </c>
    </row>
    <row customHeight="1" ht="11.25">
      <c r="A227" s="1851" t="s">
        <v>2569</v>
      </c>
      <c r="B227" s="1851" t="s">
        <v>16</v>
      </c>
      <c r="C227" s="1851" t="s">
        <v>3126</v>
      </c>
      <c r="D227" s="1851" t="s">
        <v>3127</v>
      </c>
      <c r="E227" s="1851" t="s">
        <v>3128</v>
      </c>
      <c r="F227" s="1851" t="s">
        <v>2576</v>
      </c>
      <c r="G227" s="1851" t="s">
        <v>22</v>
      </c>
      <c r="H227" s="1851" t="s">
        <v>22</v>
      </c>
      <c r="I227" s="1851" t="s">
        <v>1054</v>
      </c>
    </row>
    <row customHeight="1" ht="11.25">
      <c r="A228" s="1851" t="s">
        <v>2569</v>
      </c>
      <c r="B228" s="1851" t="s">
        <v>16</v>
      </c>
      <c r="C228" s="1851" t="s">
        <v>2781</v>
      </c>
      <c r="D228" s="1851" t="s">
        <v>2782</v>
      </c>
      <c r="E228" s="1851" t="s">
        <v>2783</v>
      </c>
      <c r="F228" s="1851" t="s">
        <v>2609</v>
      </c>
      <c r="G228" s="1851" t="s">
        <v>22</v>
      </c>
      <c r="H228" s="1851" t="s">
        <v>22</v>
      </c>
      <c r="I228" s="1851" t="s">
        <v>1054</v>
      </c>
    </row>
    <row customHeight="1" ht="11.25">
      <c r="A229" s="1851" t="s">
        <v>2569</v>
      </c>
      <c r="B229" s="1851" t="s">
        <v>16</v>
      </c>
      <c r="C229" s="1851" t="s">
        <v>3129</v>
      </c>
      <c r="D229" s="1851" t="s">
        <v>3130</v>
      </c>
      <c r="E229" s="1851" t="s">
        <v>3131</v>
      </c>
      <c r="F229" s="1851" t="s">
        <v>2613</v>
      </c>
      <c r="G229" s="1851" t="s">
        <v>3132</v>
      </c>
      <c r="H229" s="1851" t="s">
        <v>22</v>
      </c>
      <c r="I229" s="1851" t="s">
        <v>1054</v>
      </c>
    </row>
    <row customHeight="1" ht="11.25">
      <c r="A230" s="1851" t="s">
        <v>2569</v>
      </c>
      <c r="B230" s="1851" t="s">
        <v>16</v>
      </c>
      <c r="C230" s="1851" t="s">
        <v>3133</v>
      </c>
      <c r="D230" s="1851" t="s">
        <v>3134</v>
      </c>
      <c r="E230" s="1851" t="s">
        <v>3135</v>
      </c>
      <c r="F230" s="1851" t="s">
        <v>2625</v>
      </c>
      <c r="G230" s="1851" t="s">
        <v>3136</v>
      </c>
      <c r="H230" s="1851" t="s">
        <v>22</v>
      </c>
      <c r="I230" s="1851" t="s">
        <v>1054</v>
      </c>
    </row>
    <row customHeight="1" ht="11.25">
      <c r="A231" s="1851" t="s">
        <v>2569</v>
      </c>
      <c r="B231" s="1851" t="s">
        <v>16</v>
      </c>
      <c r="C231" s="1851" t="s">
        <v>3137</v>
      </c>
      <c r="D231" s="1851" t="s">
        <v>3138</v>
      </c>
      <c r="E231" s="1851" t="s">
        <v>3139</v>
      </c>
      <c r="F231" s="1851" t="s">
        <v>2887</v>
      </c>
      <c r="G231" s="1851" t="s">
        <v>3140</v>
      </c>
      <c r="H231" s="1851" t="s">
        <v>22</v>
      </c>
      <c r="I231" s="1851" t="s">
        <v>1054</v>
      </c>
    </row>
    <row customHeight="1" ht="11.25">
      <c r="A232" s="1851" t="s">
        <v>2569</v>
      </c>
      <c r="B232" s="1851" t="s">
        <v>16</v>
      </c>
      <c r="C232" s="1851" t="s">
        <v>3141</v>
      </c>
      <c r="D232" s="1851" t="s">
        <v>3142</v>
      </c>
      <c r="E232" s="1851" t="s">
        <v>3143</v>
      </c>
      <c r="F232" s="1851" t="s">
        <v>3144</v>
      </c>
      <c r="G232" s="1851" t="s">
        <v>22</v>
      </c>
      <c r="H232" s="1851" t="s">
        <v>22</v>
      </c>
      <c r="I232" s="1851" t="s">
        <v>1054</v>
      </c>
    </row>
    <row customHeight="1" ht="11.25">
      <c r="A233" s="1851" t="s">
        <v>2569</v>
      </c>
      <c r="B233" s="1851" t="s">
        <v>16</v>
      </c>
      <c r="C233" s="1851" t="s">
        <v>3145</v>
      </c>
      <c r="D233" s="1851" t="s">
        <v>3146</v>
      </c>
      <c r="E233" s="1851" t="s">
        <v>3147</v>
      </c>
      <c r="F233" s="1851" t="s">
        <v>2580</v>
      </c>
      <c r="G233" s="1851" t="s">
        <v>3148</v>
      </c>
      <c r="H233" s="1851" t="s">
        <v>22</v>
      </c>
      <c r="I233" s="1851" t="s">
        <v>1054</v>
      </c>
    </row>
    <row customHeight="1" ht="11.25">
      <c r="A234" s="1851" t="s">
        <v>2569</v>
      </c>
      <c r="B234" s="1851" t="s">
        <v>16</v>
      </c>
      <c r="C234" s="1851" t="s">
        <v>3149</v>
      </c>
      <c r="D234" s="1851" t="s">
        <v>3150</v>
      </c>
      <c r="E234" s="1851" t="s">
        <v>3151</v>
      </c>
      <c r="F234" s="1851" t="s">
        <v>2601</v>
      </c>
      <c r="G234" s="1851" t="s">
        <v>22</v>
      </c>
      <c r="H234" s="1851" t="s">
        <v>22</v>
      </c>
      <c r="I234" s="1851" t="s">
        <v>1054</v>
      </c>
    </row>
    <row customHeight="1" ht="11.25">
      <c r="A235" s="1851" t="s">
        <v>2569</v>
      </c>
      <c r="B235" s="1851" t="s">
        <v>16</v>
      </c>
      <c r="C235" s="1851" t="s">
        <v>3152</v>
      </c>
      <c r="D235" s="1851" t="s">
        <v>3153</v>
      </c>
      <c r="E235" s="1851" t="s">
        <v>3154</v>
      </c>
      <c r="F235" s="1851" t="s">
        <v>3155</v>
      </c>
      <c r="G235" s="1851" t="s">
        <v>22</v>
      </c>
      <c r="H235" s="1851" t="s">
        <v>22</v>
      </c>
      <c r="I235" s="1851" t="s">
        <v>1054</v>
      </c>
    </row>
    <row customHeight="1" ht="11.25">
      <c r="A236" s="1851" t="s">
        <v>2569</v>
      </c>
      <c r="B236" s="1851" t="s">
        <v>16</v>
      </c>
      <c r="C236" s="1851" t="s">
        <v>3156</v>
      </c>
      <c r="D236" s="1851" t="s">
        <v>3157</v>
      </c>
      <c r="E236" s="1851" t="s">
        <v>3158</v>
      </c>
      <c r="F236" s="1851" t="s">
        <v>2964</v>
      </c>
      <c r="G236" s="1851" t="s">
        <v>22</v>
      </c>
      <c r="H236" s="1851" t="s">
        <v>22</v>
      </c>
      <c r="I236" s="1851" t="s">
        <v>1054</v>
      </c>
    </row>
    <row customHeight="1" ht="11.25">
      <c r="A237" s="1851" t="s">
        <v>2569</v>
      </c>
      <c r="B237" s="1851" t="s">
        <v>16</v>
      </c>
      <c r="C237" s="1851" t="s">
        <v>3159</v>
      </c>
      <c r="D237" s="1851" t="s">
        <v>3160</v>
      </c>
      <c r="E237" s="1851" t="s">
        <v>3161</v>
      </c>
      <c r="F237" s="1851" t="s">
        <v>2990</v>
      </c>
      <c r="G237" s="1851" t="s">
        <v>3162</v>
      </c>
      <c r="H237" s="1851" t="s">
        <v>22</v>
      </c>
      <c r="I237" s="1851" t="s">
        <v>1054</v>
      </c>
    </row>
    <row customHeight="1" ht="11.25">
      <c r="A238" s="1851" t="s">
        <v>2569</v>
      </c>
      <c r="B238" s="1851" t="s">
        <v>16</v>
      </c>
      <c r="C238" s="1851" t="s">
        <v>2796</v>
      </c>
      <c r="D238" s="1851" t="s">
        <v>2797</v>
      </c>
      <c r="E238" s="1851" t="s">
        <v>2798</v>
      </c>
      <c r="F238" s="1851" t="s">
        <v>2799</v>
      </c>
      <c r="G238" s="1851" t="s">
        <v>2800</v>
      </c>
      <c r="H238" s="1851" t="s">
        <v>22</v>
      </c>
      <c r="I238" s="1851" t="s">
        <v>1054</v>
      </c>
    </row>
    <row customHeight="1" ht="11.25">
      <c r="A239" s="1851" t="s">
        <v>2569</v>
      </c>
      <c r="B239" s="1851" t="s">
        <v>16</v>
      </c>
      <c r="C239" s="1851" t="s">
        <v>3163</v>
      </c>
      <c r="D239" s="1851" t="s">
        <v>3164</v>
      </c>
      <c r="E239" s="1851" t="s">
        <v>3165</v>
      </c>
      <c r="F239" s="1851" t="s">
        <v>2613</v>
      </c>
      <c r="G239" s="1851" t="s">
        <v>22</v>
      </c>
      <c r="H239" s="1851" t="s">
        <v>22</v>
      </c>
      <c r="I239" s="1851" t="s">
        <v>1054</v>
      </c>
    </row>
    <row customHeight="1" ht="11.25">
      <c r="A240" s="1851" t="s">
        <v>2569</v>
      </c>
      <c r="B240" s="1851" t="s">
        <v>16</v>
      </c>
      <c r="C240" s="1851" t="s">
        <v>3166</v>
      </c>
      <c r="D240" s="1851" t="s">
        <v>3167</v>
      </c>
      <c r="E240" s="1851" t="s">
        <v>3168</v>
      </c>
      <c r="F240" s="1851" t="s">
        <v>2799</v>
      </c>
      <c r="G240" s="1851" t="s">
        <v>22</v>
      </c>
      <c r="H240" s="1851" t="s">
        <v>22</v>
      </c>
      <c r="I240" s="1851" t="s">
        <v>1054</v>
      </c>
    </row>
    <row customHeight="1" ht="11.25">
      <c r="A241" s="1851" t="s">
        <v>2569</v>
      </c>
      <c r="B241" s="1851" t="s">
        <v>16</v>
      </c>
      <c r="C241" s="1851" t="s">
        <v>3169</v>
      </c>
      <c r="D241" s="1851" t="s">
        <v>3170</v>
      </c>
      <c r="E241" s="1851" t="s">
        <v>3171</v>
      </c>
      <c r="F241" s="1851" t="s">
        <v>2572</v>
      </c>
      <c r="G241" s="1851" t="s">
        <v>22</v>
      </c>
      <c r="H241" s="1851" t="s">
        <v>22</v>
      </c>
      <c r="I241" s="1851" t="s">
        <v>1054</v>
      </c>
    </row>
    <row customHeight="1" ht="11.25">
      <c r="A242" s="1851" t="s">
        <v>2569</v>
      </c>
      <c r="B242" s="1851" t="s">
        <v>16</v>
      </c>
      <c r="C242" s="1851" t="s">
        <v>2809</v>
      </c>
      <c r="D242" s="1851" t="s">
        <v>2810</v>
      </c>
      <c r="E242" s="1851" t="s">
        <v>2811</v>
      </c>
      <c r="F242" s="1851" t="s">
        <v>2812</v>
      </c>
      <c r="G242" s="1851" t="s">
        <v>22</v>
      </c>
      <c r="H242" s="1851" t="s">
        <v>22</v>
      </c>
      <c r="I242" s="1851" t="s">
        <v>1054</v>
      </c>
    </row>
    <row customHeight="1" ht="11.25">
      <c r="A243" s="1851" t="s">
        <v>2569</v>
      </c>
      <c r="B243" s="1851" t="s">
        <v>16</v>
      </c>
      <c r="C243" s="1851" t="s">
        <v>3172</v>
      </c>
      <c r="D243" s="1851" t="s">
        <v>3173</v>
      </c>
      <c r="E243" s="1851" t="s">
        <v>3174</v>
      </c>
      <c r="F243" s="1851" t="s">
        <v>2576</v>
      </c>
      <c r="G243" s="1851" t="s">
        <v>22</v>
      </c>
      <c r="H243" s="1851" t="s">
        <v>22</v>
      </c>
      <c r="I243" s="1851" t="s">
        <v>1054</v>
      </c>
    </row>
    <row customHeight="1" ht="11.25">
      <c r="A244" s="1851" t="s">
        <v>2569</v>
      </c>
      <c r="B244" s="1851" t="s">
        <v>16</v>
      </c>
      <c r="C244" s="1851" t="s">
        <v>2813</v>
      </c>
      <c r="D244" s="1851" t="s">
        <v>2814</v>
      </c>
      <c r="E244" s="1851" t="s">
        <v>2815</v>
      </c>
      <c r="F244" s="1851" t="s">
        <v>2799</v>
      </c>
      <c r="G244" s="1851" t="s">
        <v>22</v>
      </c>
      <c r="H244" s="1851" t="s">
        <v>22</v>
      </c>
      <c r="I244" s="1851" t="s">
        <v>1054</v>
      </c>
    </row>
    <row customHeight="1" ht="11.25">
      <c r="A245" s="1851" t="s">
        <v>2569</v>
      </c>
      <c r="B245" s="1851" t="s">
        <v>16</v>
      </c>
      <c r="C245" s="1851" t="s">
        <v>2819</v>
      </c>
      <c r="D245" s="1851" t="s">
        <v>2820</v>
      </c>
      <c r="E245" s="1851" t="s">
        <v>2821</v>
      </c>
      <c r="F245" s="1851" t="s">
        <v>2799</v>
      </c>
      <c r="G245" s="1851" t="s">
        <v>22</v>
      </c>
      <c r="H245" s="1851" t="s">
        <v>22</v>
      </c>
      <c r="I245" s="1851" t="s">
        <v>1054</v>
      </c>
    </row>
    <row customHeight="1" ht="11.25">
      <c r="A246" s="1851" t="s">
        <v>2569</v>
      </c>
      <c r="B246" s="1851" t="s">
        <v>16</v>
      </c>
      <c r="C246" s="1851" t="s">
        <v>3175</v>
      </c>
      <c r="D246" s="1851" t="s">
        <v>3176</v>
      </c>
      <c r="E246" s="1851" t="s">
        <v>3177</v>
      </c>
      <c r="F246" s="1851" t="s">
        <v>2799</v>
      </c>
      <c r="G246" s="1851" t="s">
        <v>22</v>
      </c>
      <c r="H246" s="1851" t="s">
        <v>22</v>
      </c>
      <c r="I246" s="1851" t="s">
        <v>1054</v>
      </c>
    </row>
    <row customHeight="1" ht="11.25">
      <c r="A247" s="1851" t="s">
        <v>2569</v>
      </c>
      <c r="B247" s="1851" t="s">
        <v>16</v>
      </c>
      <c r="C247" s="1851" t="s">
        <v>3178</v>
      </c>
      <c r="D247" s="1851" t="s">
        <v>3179</v>
      </c>
      <c r="E247" s="1851" t="s">
        <v>3180</v>
      </c>
      <c r="F247" s="1851" t="s">
        <v>2753</v>
      </c>
      <c r="G247" s="1851" t="s">
        <v>3181</v>
      </c>
      <c r="H247" s="1851" t="s">
        <v>22</v>
      </c>
      <c r="I247" s="1851" t="s">
        <v>1054</v>
      </c>
    </row>
    <row customHeight="1" ht="11.25">
      <c r="A248" s="1851" t="s">
        <v>2569</v>
      </c>
      <c r="B248" s="1851" t="s">
        <v>16</v>
      </c>
      <c r="C248" s="1851" t="s">
        <v>3182</v>
      </c>
      <c r="D248" s="1851" t="s">
        <v>3183</v>
      </c>
      <c r="E248" s="1851" t="s">
        <v>3184</v>
      </c>
      <c r="F248" s="1851" t="s">
        <v>2576</v>
      </c>
      <c r="G248" s="1851" t="s">
        <v>3185</v>
      </c>
      <c r="H248" s="1851" t="s">
        <v>22</v>
      </c>
      <c r="I248" s="1851" t="s">
        <v>1054</v>
      </c>
    </row>
    <row customHeight="1" ht="11.25">
      <c r="A249" s="1851" t="s">
        <v>2569</v>
      </c>
      <c r="B249" s="1851" t="s">
        <v>16</v>
      </c>
      <c r="C249" s="1851" t="s">
        <v>3186</v>
      </c>
      <c r="D249" s="1851" t="s">
        <v>3187</v>
      </c>
      <c r="E249" s="1851" t="s">
        <v>3188</v>
      </c>
      <c r="F249" s="1851" t="s">
        <v>2709</v>
      </c>
      <c r="G249" s="1851" t="s">
        <v>22</v>
      </c>
      <c r="H249" s="1851" t="s">
        <v>22</v>
      </c>
      <c r="I249" s="1851" t="s">
        <v>1054</v>
      </c>
    </row>
    <row customHeight="1" ht="11.25">
      <c r="A250" s="1851" t="s">
        <v>2569</v>
      </c>
      <c r="B250" s="1851" t="s">
        <v>16</v>
      </c>
      <c r="C250" s="1851" t="s">
        <v>3189</v>
      </c>
      <c r="D250" s="1851" t="s">
        <v>3190</v>
      </c>
      <c r="E250" s="1851" t="s">
        <v>3191</v>
      </c>
      <c r="F250" s="1851" t="s">
        <v>2990</v>
      </c>
      <c r="G250" s="1851" t="s">
        <v>3192</v>
      </c>
      <c r="H250" s="1851" t="s">
        <v>22</v>
      </c>
      <c r="I250" s="1851" t="s">
        <v>1054</v>
      </c>
    </row>
    <row customHeight="1" ht="11.25">
      <c r="A251" s="1851" t="s">
        <v>2569</v>
      </c>
      <c r="B251" s="1851" t="s">
        <v>16</v>
      </c>
      <c r="C251" s="1851" t="s">
        <v>3193</v>
      </c>
      <c r="D251" s="1851" t="s">
        <v>3194</v>
      </c>
      <c r="E251" s="1851" t="s">
        <v>3195</v>
      </c>
      <c r="F251" s="1851" t="s">
        <v>2634</v>
      </c>
      <c r="G251" s="1851" t="s">
        <v>3196</v>
      </c>
      <c r="H251" s="1851" t="s">
        <v>22</v>
      </c>
      <c r="I251" s="1851" t="s">
        <v>1054</v>
      </c>
    </row>
    <row customHeight="1" ht="11.25">
      <c r="A252" s="1851" t="s">
        <v>2569</v>
      </c>
      <c r="B252" s="1851" t="s">
        <v>16</v>
      </c>
      <c r="C252" s="1851" t="s">
        <v>3197</v>
      </c>
      <c r="D252" s="1851" t="s">
        <v>3198</v>
      </c>
      <c r="E252" s="1851" t="s">
        <v>3199</v>
      </c>
      <c r="F252" s="1851" t="s">
        <v>2887</v>
      </c>
      <c r="G252" s="1851" t="s">
        <v>3200</v>
      </c>
      <c r="H252" s="1851" t="s">
        <v>22</v>
      </c>
      <c r="I252" s="1851" t="s">
        <v>1054</v>
      </c>
    </row>
    <row customHeight="1" ht="11.25">
      <c r="A253" s="1851" t="s">
        <v>2569</v>
      </c>
      <c r="B253" s="1851" t="s">
        <v>16</v>
      </c>
      <c r="C253" s="1851" t="s">
        <v>2831</v>
      </c>
      <c r="D253" s="1851" t="s">
        <v>2832</v>
      </c>
      <c r="E253" s="1851" t="s">
        <v>2833</v>
      </c>
      <c r="F253" s="1851" t="s">
        <v>2799</v>
      </c>
      <c r="G253" s="1851" t="s">
        <v>22</v>
      </c>
      <c r="H253" s="1851" t="s">
        <v>22</v>
      </c>
      <c r="I253" s="1851" t="s">
        <v>1054</v>
      </c>
    </row>
    <row customHeight="1" ht="11.25">
      <c r="A254" s="1851" t="s">
        <v>2569</v>
      </c>
      <c r="B254" s="1851" t="s">
        <v>16</v>
      </c>
      <c r="C254" s="1851" t="s">
        <v>3201</v>
      </c>
      <c r="D254" s="1851" t="s">
        <v>3202</v>
      </c>
      <c r="E254" s="1851" t="s">
        <v>3203</v>
      </c>
      <c r="F254" s="1851" t="s">
        <v>2753</v>
      </c>
      <c r="G254" s="1851" t="s">
        <v>22</v>
      </c>
      <c r="H254" s="1851" t="s">
        <v>22</v>
      </c>
      <c r="I254" s="1851" t="s">
        <v>1054</v>
      </c>
    </row>
    <row customHeight="1" ht="11.25">
      <c r="A255" s="1851" t="s">
        <v>2569</v>
      </c>
      <c r="B255" s="1851" t="s">
        <v>16</v>
      </c>
      <c r="C255" s="1851" t="s">
        <v>2844</v>
      </c>
      <c r="D255" s="1851" t="s">
        <v>2845</v>
      </c>
      <c r="E255" s="1851" t="s">
        <v>2846</v>
      </c>
      <c r="F255" s="1851" t="s">
        <v>2613</v>
      </c>
      <c r="G255" s="1851" t="s">
        <v>22</v>
      </c>
      <c r="H255" s="1851" t="s">
        <v>22</v>
      </c>
      <c r="I255" s="1851" t="s">
        <v>1054</v>
      </c>
    </row>
    <row customHeight="1" ht="11.25">
      <c r="A256" s="1851" t="s">
        <v>2569</v>
      </c>
      <c r="B256" s="1851" t="s">
        <v>16</v>
      </c>
      <c r="C256" s="1851" t="s">
        <v>2847</v>
      </c>
      <c r="D256" s="1851" t="s">
        <v>2848</v>
      </c>
      <c r="E256" s="1851" t="s">
        <v>2849</v>
      </c>
      <c r="F256" s="1851" t="s">
        <v>2576</v>
      </c>
      <c r="G256" s="1851" t="s">
        <v>22</v>
      </c>
      <c r="H256" s="1851" t="s">
        <v>22</v>
      </c>
      <c r="I256" s="1851" t="s">
        <v>1054</v>
      </c>
    </row>
    <row customHeight="1" ht="11.25">
      <c r="A257" s="1851" t="s">
        <v>2569</v>
      </c>
      <c r="B257" s="1851" t="s">
        <v>16</v>
      </c>
      <c r="C257" s="1851" t="s">
        <v>2862</v>
      </c>
      <c r="D257" s="1851" t="s">
        <v>2863</v>
      </c>
      <c r="E257" s="1851" t="s">
        <v>2864</v>
      </c>
      <c r="F257" s="1851" t="s">
        <v>2774</v>
      </c>
      <c r="G257" s="1851" t="s">
        <v>2865</v>
      </c>
      <c r="H257" s="1851" t="s">
        <v>22</v>
      </c>
      <c r="I257" s="1851" t="s">
        <v>1054</v>
      </c>
    </row>
    <row customHeight="1" ht="11.25">
      <c r="A258" s="1851" t="s">
        <v>2569</v>
      </c>
      <c r="B258" s="1851" t="s">
        <v>16</v>
      </c>
      <c r="C258" s="1851" t="s">
        <v>3204</v>
      </c>
      <c r="D258" s="1851" t="s">
        <v>3205</v>
      </c>
      <c r="E258" s="1851" t="s">
        <v>3206</v>
      </c>
      <c r="F258" s="1851" t="s">
        <v>2760</v>
      </c>
      <c r="G258" s="1851" t="s">
        <v>22</v>
      </c>
      <c r="H258" s="1851" t="s">
        <v>22</v>
      </c>
      <c r="I258" s="1851" t="s">
        <v>1054</v>
      </c>
    </row>
    <row customHeight="1" ht="11.25">
      <c r="A259" s="1851" t="s">
        <v>2569</v>
      </c>
      <c r="B259" s="1851" t="s">
        <v>16</v>
      </c>
      <c r="C259" s="1851" t="s">
        <v>3207</v>
      </c>
      <c r="D259" s="1851" t="s">
        <v>3208</v>
      </c>
      <c r="E259" s="1851" t="s">
        <v>3209</v>
      </c>
      <c r="F259" s="1851" t="s">
        <v>2709</v>
      </c>
      <c r="G259" s="1851" t="s">
        <v>22</v>
      </c>
      <c r="H259" s="1851" t="s">
        <v>22</v>
      </c>
      <c r="I259" s="1851" t="s">
        <v>1054</v>
      </c>
    </row>
    <row customHeight="1" ht="11.25">
      <c r="A260" s="1851" t="s">
        <v>2569</v>
      </c>
      <c r="B260" s="1851" t="s">
        <v>16</v>
      </c>
      <c r="C260" s="1851" t="s">
        <v>2878</v>
      </c>
      <c r="D260" s="1851" t="s">
        <v>2879</v>
      </c>
      <c r="E260" s="1851" t="s">
        <v>2880</v>
      </c>
      <c r="F260" s="1851" t="s">
        <v>2576</v>
      </c>
      <c r="G260" s="1851" t="s">
        <v>22</v>
      </c>
      <c r="H260" s="1851" t="s">
        <v>22</v>
      </c>
      <c r="I260" s="1851" t="s">
        <v>1054</v>
      </c>
    </row>
    <row customHeight="1" ht="11.25">
      <c r="A261" s="1851" t="s">
        <v>2569</v>
      </c>
      <c r="B261" s="1851" t="s">
        <v>16</v>
      </c>
      <c r="C261" s="1851" t="s">
        <v>3210</v>
      </c>
      <c r="D261" s="1851" t="s">
        <v>3211</v>
      </c>
      <c r="E261" s="1851" t="s">
        <v>3212</v>
      </c>
      <c r="F261" s="1851" t="s">
        <v>3213</v>
      </c>
      <c r="G261" s="1851" t="s">
        <v>22</v>
      </c>
      <c r="H261" s="1851" t="s">
        <v>22</v>
      </c>
      <c r="I261" s="1851" t="s">
        <v>1054</v>
      </c>
    </row>
    <row customHeight="1" ht="11.25">
      <c r="A262" s="1851" t="s">
        <v>2569</v>
      </c>
      <c r="B262" s="1851" t="s">
        <v>16</v>
      </c>
      <c r="C262" s="1851" t="s">
        <v>3214</v>
      </c>
      <c r="D262" s="1851" t="s">
        <v>3215</v>
      </c>
      <c r="E262" s="1851" t="s">
        <v>3216</v>
      </c>
      <c r="F262" s="1851" t="s">
        <v>2774</v>
      </c>
      <c r="G262" s="1851" t="s">
        <v>22</v>
      </c>
      <c r="H262" s="1851" t="s">
        <v>22</v>
      </c>
      <c r="I262" s="1851" t="s">
        <v>1054</v>
      </c>
    </row>
    <row customHeight="1" ht="11.25">
      <c r="A263" s="1851" t="s">
        <v>2569</v>
      </c>
      <c r="B263" s="1851" t="s">
        <v>16</v>
      </c>
      <c r="C263" s="1851" t="s">
        <v>3217</v>
      </c>
      <c r="D263" s="1851" t="s">
        <v>3218</v>
      </c>
      <c r="E263" s="1851" t="s">
        <v>3219</v>
      </c>
      <c r="F263" s="1851" t="s">
        <v>2601</v>
      </c>
      <c r="G263" s="1851" t="s">
        <v>22</v>
      </c>
      <c r="H263" s="1851" t="s">
        <v>22</v>
      </c>
      <c r="I263" s="1851" t="s">
        <v>1054</v>
      </c>
    </row>
    <row customHeight="1" ht="11.25">
      <c r="A264" s="1851" t="s">
        <v>2569</v>
      </c>
      <c r="B264" s="1851" t="s">
        <v>16</v>
      </c>
      <c r="C264" s="1851" t="s">
        <v>2881</v>
      </c>
      <c r="D264" s="1851" t="s">
        <v>2882</v>
      </c>
      <c r="E264" s="1851" t="s">
        <v>2883</v>
      </c>
      <c r="F264" s="1851" t="s">
        <v>2753</v>
      </c>
      <c r="G264" s="1851" t="s">
        <v>2635</v>
      </c>
      <c r="H264" s="1851" t="s">
        <v>22</v>
      </c>
      <c r="I264" s="1851" t="s">
        <v>1054</v>
      </c>
    </row>
    <row customHeight="1" ht="11.25">
      <c r="A265" s="1851" t="s">
        <v>2569</v>
      </c>
      <c r="B265" s="1851" t="s">
        <v>16</v>
      </c>
      <c r="C265" s="1851" t="s">
        <v>3220</v>
      </c>
      <c r="D265" s="1851" t="s">
        <v>3221</v>
      </c>
      <c r="E265" s="1851" t="s">
        <v>3222</v>
      </c>
      <c r="F265" s="1851" t="s">
        <v>2753</v>
      </c>
      <c r="G265" s="1851" t="s">
        <v>22</v>
      </c>
      <c r="H265" s="1851" t="s">
        <v>22</v>
      </c>
      <c r="I265" s="1851" t="s">
        <v>1054</v>
      </c>
    </row>
    <row customHeight="1" ht="11.25">
      <c r="A266" s="1851" t="s">
        <v>2569</v>
      </c>
      <c r="B266" s="1851" t="s">
        <v>16</v>
      </c>
      <c r="C266" s="1851" t="s">
        <v>2891</v>
      </c>
      <c r="D266" s="1851" t="s">
        <v>2892</v>
      </c>
      <c r="E266" s="1851" t="s">
        <v>2893</v>
      </c>
      <c r="F266" s="1851" t="s">
        <v>2894</v>
      </c>
      <c r="G266" s="1851" t="s">
        <v>22</v>
      </c>
      <c r="H266" s="1851" t="s">
        <v>22</v>
      </c>
      <c r="I266" s="1851" t="s">
        <v>1054</v>
      </c>
    </row>
    <row customHeight="1" ht="11.25">
      <c r="A267" s="1851" t="s">
        <v>2569</v>
      </c>
      <c r="B267" s="1851" t="s">
        <v>16</v>
      </c>
      <c r="C267" s="1851" t="s">
        <v>3223</v>
      </c>
      <c r="D267" s="1851" t="s">
        <v>3224</v>
      </c>
      <c r="E267" s="1851" t="s">
        <v>3225</v>
      </c>
      <c r="F267" s="1851" t="s">
        <v>2634</v>
      </c>
      <c r="G267" s="1851" t="s">
        <v>22</v>
      </c>
      <c r="H267" s="1851" t="s">
        <v>22</v>
      </c>
      <c r="I267" s="1851" t="s">
        <v>1054</v>
      </c>
    </row>
    <row customHeight="1" ht="11.25">
      <c r="A268" s="1851" t="s">
        <v>2569</v>
      </c>
      <c r="B268" s="1851" t="s">
        <v>16</v>
      </c>
      <c r="C268" s="1851" t="s">
        <v>2905</v>
      </c>
      <c r="D268" s="1851" t="s">
        <v>2906</v>
      </c>
      <c r="E268" s="1851" t="s">
        <v>2907</v>
      </c>
      <c r="F268" s="1851" t="s">
        <v>2908</v>
      </c>
      <c r="G268" s="1851" t="s">
        <v>22</v>
      </c>
      <c r="H268" s="1851" t="s">
        <v>22</v>
      </c>
      <c r="I268" s="1851" t="s">
        <v>1054</v>
      </c>
    </row>
    <row customHeight="1" ht="11.25">
      <c r="A269" s="1851" t="s">
        <v>2569</v>
      </c>
      <c r="B269" s="1851" t="s">
        <v>16</v>
      </c>
      <c r="C269" s="1851" t="s">
        <v>3226</v>
      </c>
      <c r="D269" s="1851" t="s">
        <v>3227</v>
      </c>
      <c r="E269" s="1851" t="s">
        <v>3228</v>
      </c>
      <c r="F269" s="1851" t="s">
        <v>2601</v>
      </c>
      <c r="G269" s="1851" t="s">
        <v>22</v>
      </c>
      <c r="H269" s="1851" t="s">
        <v>22</v>
      </c>
      <c r="I269" s="1851" t="s">
        <v>1054</v>
      </c>
    </row>
    <row customHeight="1" ht="11.25">
      <c r="A270" s="1851" t="s">
        <v>2569</v>
      </c>
      <c r="B270" s="1851" t="s">
        <v>16</v>
      </c>
      <c r="C270" s="1851" t="s">
        <v>3229</v>
      </c>
      <c r="D270" s="1851" t="s">
        <v>3230</v>
      </c>
      <c r="E270" s="1851" t="s">
        <v>3231</v>
      </c>
      <c r="F270" s="1851" t="s">
        <v>2799</v>
      </c>
      <c r="G270" s="1851" t="s">
        <v>22</v>
      </c>
      <c r="H270" s="1851" t="s">
        <v>22</v>
      </c>
      <c r="I270" s="1851" t="s">
        <v>1054</v>
      </c>
    </row>
    <row customHeight="1" ht="11.25">
      <c r="A271" s="1851" t="s">
        <v>2569</v>
      </c>
      <c r="B271" s="1851" t="s">
        <v>16</v>
      </c>
      <c r="C271" s="1851" t="s">
        <v>3232</v>
      </c>
      <c r="D271" s="1851" t="s">
        <v>3233</v>
      </c>
      <c r="E271" s="1851" t="s">
        <v>3234</v>
      </c>
      <c r="F271" s="1851" t="s">
        <v>2576</v>
      </c>
      <c r="G271" s="1851" t="s">
        <v>22</v>
      </c>
      <c r="H271" s="1851" t="s">
        <v>22</v>
      </c>
      <c r="I271" s="1851" t="s">
        <v>1054</v>
      </c>
    </row>
    <row customHeight="1" ht="11.25">
      <c r="A272" s="1851" t="s">
        <v>2569</v>
      </c>
      <c r="B272" s="1851" t="s">
        <v>16</v>
      </c>
      <c r="C272" s="1851" t="s">
        <v>3235</v>
      </c>
      <c r="D272" s="1851" t="s">
        <v>3236</v>
      </c>
      <c r="E272" s="1851" t="s">
        <v>3237</v>
      </c>
      <c r="F272" s="1851" t="s">
        <v>2894</v>
      </c>
      <c r="G272" s="1851" t="s">
        <v>22</v>
      </c>
      <c r="H272" s="1851" t="s">
        <v>22</v>
      </c>
      <c r="I272" s="1851" t="s">
        <v>1054</v>
      </c>
    </row>
    <row customHeight="1" ht="11.25">
      <c r="A273" s="1851" t="s">
        <v>2569</v>
      </c>
      <c r="B273" s="1851" t="s">
        <v>16</v>
      </c>
      <c r="C273" s="1851" t="s">
        <v>3238</v>
      </c>
      <c r="D273" s="1851" t="s">
        <v>3239</v>
      </c>
      <c r="E273" s="1851" t="s">
        <v>3240</v>
      </c>
      <c r="F273" s="1851" t="s">
        <v>2679</v>
      </c>
      <c r="G273" s="1851" t="s">
        <v>22</v>
      </c>
      <c r="H273" s="1851" t="s">
        <v>22</v>
      </c>
      <c r="I273" s="1851" t="s">
        <v>1054</v>
      </c>
    </row>
    <row customHeight="1" ht="11.25">
      <c r="A274" s="1851" t="s">
        <v>2569</v>
      </c>
      <c r="B274" s="1851" t="s">
        <v>16</v>
      </c>
      <c r="C274" s="1851" t="s">
        <v>3241</v>
      </c>
      <c r="D274" s="1851" t="s">
        <v>3242</v>
      </c>
      <c r="E274" s="1851" t="s">
        <v>3243</v>
      </c>
      <c r="F274" s="1851" t="s">
        <v>2572</v>
      </c>
      <c r="G274" s="1851" t="s">
        <v>22</v>
      </c>
      <c r="H274" s="1851" t="s">
        <v>22</v>
      </c>
      <c r="I274" s="1851" t="s">
        <v>1054</v>
      </c>
    </row>
    <row customHeight="1" ht="11.25">
      <c r="A275" s="1851" t="s">
        <v>2569</v>
      </c>
      <c r="B275" s="1851" t="s">
        <v>16</v>
      </c>
      <c r="C275" s="1851" t="s">
        <v>3244</v>
      </c>
      <c r="D275" s="1851" t="s">
        <v>3245</v>
      </c>
      <c r="E275" s="1851" t="s">
        <v>3246</v>
      </c>
      <c r="F275" s="1851" t="s">
        <v>2634</v>
      </c>
      <c r="G275" s="1851" t="s">
        <v>22</v>
      </c>
      <c r="H275" s="1851" t="s">
        <v>22</v>
      </c>
      <c r="I275" s="1851" t="s">
        <v>1054</v>
      </c>
    </row>
    <row customHeight="1" ht="11.25">
      <c r="A276" s="1851" t="s">
        <v>2569</v>
      </c>
      <c r="B276" s="1851" t="s">
        <v>16</v>
      </c>
      <c r="C276" s="1851" t="s">
        <v>3247</v>
      </c>
      <c r="D276" s="1851" t="s">
        <v>3248</v>
      </c>
      <c r="E276" s="1851" t="s">
        <v>3249</v>
      </c>
      <c r="F276" s="1851" t="s">
        <v>2625</v>
      </c>
      <c r="G276" s="1851" t="s">
        <v>3250</v>
      </c>
      <c r="H276" s="1851" t="s">
        <v>22</v>
      </c>
      <c r="I276" s="1851" t="s">
        <v>1054</v>
      </c>
    </row>
    <row customHeight="1" ht="11.25">
      <c r="A277" s="1851" t="s">
        <v>2569</v>
      </c>
      <c r="B277" s="1851" t="s">
        <v>16</v>
      </c>
      <c r="C277" s="1851" t="s">
        <v>3251</v>
      </c>
      <c r="D277" s="1851" t="s">
        <v>3252</v>
      </c>
      <c r="E277" s="1851" t="s">
        <v>2571</v>
      </c>
      <c r="F277" s="1851" t="s">
        <v>2572</v>
      </c>
      <c r="G277" s="1851" t="s">
        <v>22</v>
      </c>
      <c r="H277" s="1851" t="s">
        <v>22</v>
      </c>
      <c r="I277" s="1851" t="s">
        <v>1054</v>
      </c>
    </row>
    <row customHeight="1" ht="11.25">
      <c r="A278" s="1851" t="s">
        <v>2569</v>
      </c>
      <c r="B278" s="1851" t="s">
        <v>16</v>
      </c>
      <c r="C278" s="1851" t="s">
        <v>3253</v>
      </c>
      <c r="D278" s="1851" t="s">
        <v>3254</v>
      </c>
      <c r="E278" s="1851" t="s">
        <v>3255</v>
      </c>
      <c r="F278" s="1851" t="s">
        <v>2576</v>
      </c>
      <c r="G278" s="1851" t="s">
        <v>22</v>
      </c>
      <c r="H278" s="1851" t="s">
        <v>22</v>
      </c>
      <c r="I278" s="1851" t="s">
        <v>1054</v>
      </c>
    </row>
    <row customHeight="1" ht="11.25">
      <c r="A279" s="1851" t="s">
        <v>2569</v>
      </c>
      <c r="B279" s="1851" t="s">
        <v>16</v>
      </c>
      <c r="C279" s="1851" t="s">
        <v>3256</v>
      </c>
      <c r="D279" s="1851" t="s">
        <v>3257</v>
      </c>
      <c r="E279" s="1851" t="s">
        <v>3258</v>
      </c>
      <c r="F279" s="1851" t="s">
        <v>2576</v>
      </c>
      <c r="G279" s="1851" t="s">
        <v>22</v>
      </c>
      <c r="H279" s="1851" t="s">
        <v>22</v>
      </c>
      <c r="I279" s="1851" t="s">
        <v>1054</v>
      </c>
    </row>
    <row customHeight="1" ht="11.25">
      <c r="A280" s="1851" t="s">
        <v>2569</v>
      </c>
      <c r="B280" s="1851" t="s">
        <v>16</v>
      </c>
      <c r="C280" s="1851" t="s">
        <v>2912</v>
      </c>
      <c r="D280" s="1851" t="s">
        <v>2913</v>
      </c>
      <c r="E280" s="1851" t="s">
        <v>2914</v>
      </c>
      <c r="F280" s="1851" t="s">
        <v>2584</v>
      </c>
      <c r="G280" s="1851" t="s">
        <v>22</v>
      </c>
      <c r="H280" s="1851" t="s">
        <v>22</v>
      </c>
      <c r="I280" s="1851" t="s">
        <v>1054</v>
      </c>
    </row>
    <row customHeight="1" ht="11.25">
      <c r="A281" s="1851" t="s">
        <v>2569</v>
      </c>
      <c r="B281" s="1851" t="s">
        <v>16</v>
      </c>
      <c r="C281" s="1851" t="s">
        <v>2923</v>
      </c>
      <c r="D281" s="1851" t="s">
        <v>2924</v>
      </c>
      <c r="E281" s="1851" t="s">
        <v>2925</v>
      </c>
      <c r="F281" s="1851" t="s">
        <v>2894</v>
      </c>
      <c r="G281" s="1851" t="s">
        <v>2926</v>
      </c>
      <c r="H281" s="1851" t="s">
        <v>22</v>
      </c>
      <c r="I281" s="1851" t="s">
        <v>1054</v>
      </c>
    </row>
    <row customHeight="1" ht="11.25">
      <c r="A282" s="1851" t="s">
        <v>2569</v>
      </c>
      <c r="B282" s="1851" t="s">
        <v>16</v>
      </c>
      <c r="C282" s="1851" t="s">
        <v>2927</v>
      </c>
      <c r="D282" s="1851" t="s">
        <v>2928</v>
      </c>
      <c r="E282" s="1851" t="s">
        <v>2929</v>
      </c>
      <c r="F282" s="1851" t="s">
        <v>2625</v>
      </c>
      <c r="G282" s="1851" t="s">
        <v>2930</v>
      </c>
      <c r="H282" s="1851" t="s">
        <v>22</v>
      </c>
      <c r="I282" s="1851" t="s">
        <v>1054</v>
      </c>
    </row>
    <row customHeight="1" ht="11.25">
      <c r="A283" s="1851" t="s">
        <v>2569</v>
      </c>
      <c r="B283" s="1851" t="s">
        <v>16</v>
      </c>
      <c r="C283" s="1851" t="s">
        <v>3259</v>
      </c>
      <c r="D283" s="1851" t="s">
        <v>3260</v>
      </c>
      <c r="E283" s="1851" t="s">
        <v>3261</v>
      </c>
      <c r="F283" s="1851" t="s">
        <v>2679</v>
      </c>
      <c r="G283" s="1851" t="s">
        <v>22</v>
      </c>
      <c r="H283" s="1851" t="s">
        <v>22</v>
      </c>
      <c r="I283" s="1851" t="s">
        <v>1054</v>
      </c>
    </row>
    <row customHeight="1" ht="11.25">
      <c r="A284" s="1851" t="s">
        <v>2569</v>
      </c>
      <c r="B284" s="1851" t="s">
        <v>16</v>
      </c>
      <c r="C284" s="1851" t="s">
        <v>3262</v>
      </c>
      <c r="D284" s="1851" t="s">
        <v>3263</v>
      </c>
      <c r="E284" s="1851" t="s">
        <v>3264</v>
      </c>
      <c r="F284" s="1851" t="s">
        <v>2799</v>
      </c>
      <c r="G284" s="1851" t="s">
        <v>22</v>
      </c>
      <c r="H284" s="1851" t="s">
        <v>22</v>
      </c>
      <c r="I284" s="1851" t="s">
        <v>1054</v>
      </c>
    </row>
    <row customHeight="1" ht="11.25">
      <c r="A285" s="1851" t="s">
        <v>2569</v>
      </c>
      <c r="B285" s="1851" t="s">
        <v>16</v>
      </c>
      <c r="C285" s="1851" t="s">
        <v>3265</v>
      </c>
      <c r="D285" s="1851" t="s">
        <v>3266</v>
      </c>
      <c r="E285" s="1851" t="s">
        <v>3267</v>
      </c>
      <c r="F285" s="1851" t="s">
        <v>3268</v>
      </c>
      <c r="G285" s="1851" t="s">
        <v>22</v>
      </c>
      <c r="H285" s="1851" t="s">
        <v>22</v>
      </c>
      <c r="I285" s="1851" t="s">
        <v>1054</v>
      </c>
    </row>
    <row customHeight="1" ht="11.25">
      <c r="A286" s="1851" t="s">
        <v>2569</v>
      </c>
      <c r="B286" s="1851" t="s">
        <v>16</v>
      </c>
      <c r="C286" s="1851" t="s">
        <v>3269</v>
      </c>
      <c r="D286" s="1851" t="s">
        <v>3270</v>
      </c>
      <c r="E286" s="1851" t="s">
        <v>3271</v>
      </c>
      <c r="F286" s="1851" t="s">
        <v>2709</v>
      </c>
      <c r="G286" s="1851" t="s">
        <v>22</v>
      </c>
      <c r="H286" s="1851" t="s">
        <v>22</v>
      </c>
      <c r="I286" s="1851" t="s">
        <v>1054</v>
      </c>
    </row>
    <row customHeight="1" ht="11.25">
      <c r="A287" s="1851" t="s">
        <v>2569</v>
      </c>
      <c r="B287" s="1851" t="s">
        <v>16</v>
      </c>
      <c r="C287" s="1851" t="s">
        <v>2941</v>
      </c>
      <c r="D287" s="1851" t="s">
        <v>2942</v>
      </c>
      <c r="E287" s="1851" t="s">
        <v>2943</v>
      </c>
      <c r="F287" s="1851" t="s">
        <v>2774</v>
      </c>
      <c r="G287" s="1851" t="s">
        <v>22</v>
      </c>
      <c r="H287" s="1851" t="s">
        <v>22</v>
      </c>
      <c r="I287" s="1851" t="s">
        <v>1054</v>
      </c>
    </row>
    <row customHeight="1" ht="11.25">
      <c r="A288" s="1851" t="s">
        <v>2569</v>
      </c>
      <c r="B288" s="1851" t="s">
        <v>16</v>
      </c>
      <c r="C288" s="1851" t="s">
        <v>2944</v>
      </c>
      <c r="D288" s="1851" t="s">
        <v>2945</v>
      </c>
      <c r="E288" s="1851" t="s">
        <v>2946</v>
      </c>
      <c r="F288" s="1851" t="s">
        <v>2947</v>
      </c>
      <c r="G288" s="1851" t="s">
        <v>2948</v>
      </c>
      <c r="H288" s="1851" t="s">
        <v>22</v>
      </c>
      <c r="I288" s="1851" t="s">
        <v>1054</v>
      </c>
    </row>
    <row customHeight="1" ht="11.25">
      <c r="A289" s="1851" t="s">
        <v>2569</v>
      </c>
      <c r="B289" s="1851" t="s">
        <v>16</v>
      </c>
      <c r="C289" s="1851" t="s">
        <v>2949</v>
      </c>
      <c r="D289" s="1851" t="s">
        <v>2950</v>
      </c>
      <c r="E289" s="1851" t="s">
        <v>2951</v>
      </c>
      <c r="F289" s="1851" t="s">
        <v>2774</v>
      </c>
      <c r="G289" s="1851" t="s">
        <v>22</v>
      </c>
      <c r="H289" s="1851" t="s">
        <v>22</v>
      </c>
      <c r="I289" s="1851" t="s">
        <v>1054</v>
      </c>
    </row>
    <row customHeight="1" ht="11.25">
      <c r="A290" s="1851" t="s">
        <v>2569</v>
      </c>
      <c r="B290" s="1851" t="s">
        <v>16</v>
      </c>
      <c r="C290" s="1851" t="s">
        <v>2955</v>
      </c>
      <c r="D290" s="1851" t="s">
        <v>2956</v>
      </c>
      <c r="E290" s="1851" t="s">
        <v>2957</v>
      </c>
      <c r="F290" s="1851" t="s">
        <v>2709</v>
      </c>
      <c r="G290" s="1851" t="s">
        <v>22</v>
      </c>
      <c r="H290" s="1851" t="s">
        <v>22</v>
      </c>
      <c r="I290" s="1851" t="s">
        <v>1054</v>
      </c>
    </row>
    <row customHeight="1" ht="11.25">
      <c r="A291" s="1851" t="s">
        <v>2569</v>
      </c>
      <c r="B291" s="1851" t="s">
        <v>16</v>
      </c>
      <c r="C291" s="1851" t="s">
        <v>3272</v>
      </c>
      <c r="D291" s="1851" t="s">
        <v>3273</v>
      </c>
      <c r="E291" s="1851" t="s">
        <v>3274</v>
      </c>
      <c r="F291" s="1851" t="s">
        <v>3088</v>
      </c>
      <c r="G291" s="1851" t="s">
        <v>22</v>
      </c>
      <c r="H291" s="1851" t="s">
        <v>22</v>
      </c>
      <c r="I291" s="1851" t="s">
        <v>1054</v>
      </c>
    </row>
    <row customHeight="1" ht="11.25">
      <c r="A292" s="1851" t="s">
        <v>2569</v>
      </c>
      <c r="B292" s="1851" t="s">
        <v>16</v>
      </c>
      <c r="C292" s="1851" t="s">
        <v>3275</v>
      </c>
      <c r="D292" s="1851" t="s">
        <v>3276</v>
      </c>
      <c r="E292" s="1851" t="s">
        <v>3277</v>
      </c>
      <c r="F292" s="1851" t="s">
        <v>3088</v>
      </c>
      <c r="G292" s="1851" t="s">
        <v>22</v>
      </c>
      <c r="H292" s="1851" t="s">
        <v>22</v>
      </c>
      <c r="I292" s="1851" t="s">
        <v>1054</v>
      </c>
    </row>
    <row customHeight="1" ht="11.25">
      <c r="A293" s="1851" t="s">
        <v>2569</v>
      </c>
      <c r="B293" s="1851" t="s">
        <v>16</v>
      </c>
      <c r="C293" s="1851" t="s">
        <v>3278</v>
      </c>
      <c r="D293" s="1851" t="s">
        <v>3279</v>
      </c>
      <c r="E293" s="1851" t="s">
        <v>3280</v>
      </c>
      <c r="F293" s="1851" t="s">
        <v>2601</v>
      </c>
      <c r="G293" s="1851" t="s">
        <v>22</v>
      </c>
      <c r="H293" s="1851" t="s">
        <v>22</v>
      </c>
      <c r="I293" s="1851" t="s">
        <v>1054</v>
      </c>
    </row>
    <row customHeight="1" ht="11.25">
      <c r="A294" s="1851" t="s">
        <v>2569</v>
      </c>
      <c r="B294" s="1851" t="s">
        <v>16</v>
      </c>
      <c r="C294" s="1851" t="s">
        <v>3281</v>
      </c>
      <c r="D294" s="1851" t="s">
        <v>3282</v>
      </c>
      <c r="E294" s="1851" t="s">
        <v>3283</v>
      </c>
      <c r="F294" s="1851" t="s">
        <v>2964</v>
      </c>
      <c r="G294" s="1851" t="s">
        <v>22</v>
      </c>
      <c r="H294" s="1851" t="s">
        <v>22</v>
      </c>
      <c r="I294" s="1851" t="s">
        <v>1054</v>
      </c>
    </row>
    <row customHeight="1" ht="11.25">
      <c r="A295" s="1851" t="s">
        <v>2569</v>
      </c>
      <c r="B295" s="1851" t="s">
        <v>16</v>
      </c>
      <c r="C295" s="1851" t="s">
        <v>3284</v>
      </c>
      <c r="D295" s="1851" t="s">
        <v>3285</v>
      </c>
      <c r="E295" s="1851" t="s">
        <v>3286</v>
      </c>
      <c r="F295" s="1851" t="s">
        <v>2760</v>
      </c>
      <c r="G295" s="1851" t="s">
        <v>22</v>
      </c>
      <c r="H295" s="1851" t="s">
        <v>22</v>
      </c>
      <c r="I295" s="1851" t="s">
        <v>1054</v>
      </c>
    </row>
    <row customHeight="1" ht="11.25">
      <c r="A296" s="1851" t="s">
        <v>2569</v>
      </c>
      <c r="B296" s="1851" t="s">
        <v>16</v>
      </c>
      <c r="C296" s="1851" t="s">
        <v>2961</v>
      </c>
      <c r="D296" s="1851" t="s">
        <v>2962</v>
      </c>
      <c r="E296" s="1851" t="s">
        <v>2963</v>
      </c>
      <c r="F296" s="1851" t="s">
        <v>2964</v>
      </c>
      <c r="G296" s="1851" t="s">
        <v>22</v>
      </c>
      <c r="H296" s="1851" t="s">
        <v>22</v>
      </c>
      <c r="I296" s="1851" t="s">
        <v>1054</v>
      </c>
    </row>
    <row customHeight="1" ht="11.25">
      <c r="A297" s="1851" t="s">
        <v>2569</v>
      </c>
      <c r="B297" s="1851" t="s">
        <v>16</v>
      </c>
      <c r="C297" s="1851" t="s">
        <v>3287</v>
      </c>
      <c r="D297" s="1851" t="s">
        <v>3288</v>
      </c>
      <c r="E297" s="1851" t="s">
        <v>3289</v>
      </c>
      <c r="F297" s="1851" t="s">
        <v>2709</v>
      </c>
      <c r="G297" s="1851" t="s">
        <v>22</v>
      </c>
      <c r="H297" s="1851" t="s">
        <v>22</v>
      </c>
      <c r="I297" s="1851" t="s">
        <v>1054</v>
      </c>
    </row>
    <row customHeight="1" ht="11.25">
      <c r="A298" s="1851" t="s">
        <v>2569</v>
      </c>
      <c r="B298" s="1851" t="s">
        <v>16</v>
      </c>
      <c r="C298" s="1851" t="s">
        <v>3290</v>
      </c>
      <c r="D298" s="1851" t="s">
        <v>3291</v>
      </c>
      <c r="E298" s="1851" t="s">
        <v>3292</v>
      </c>
      <c r="F298" s="1851" t="s">
        <v>3144</v>
      </c>
      <c r="G298" s="1851" t="s">
        <v>3293</v>
      </c>
      <c r="H298" s="1851" t="s">
        <v>22</v>
      </c>
      <c r="I298" s="1851" t="s">
        <v>1054</v>
      </c>
    </row>
    <row customHeight="1" ht="11.25">
      <c r="A299" s="1851" t="s">
        <v>2569</v>
      </c>
      <c r="B299" s="1851" t="s">
        <v>16</v>
      </c>
      <c r="C299" s="1851" t="s">
        <v>3294</v>
      </c>
      <c r="D299" s="1851" t="s">
        <v>3295</v>
      </c>
      <c r="E299" s="1851" t="s">
        <v>3296</v>
      </c>
      <c r="F299" s="1851" t="s">
        <v>2679</v>
      </c>
      <c r="G299" s="1851" t="s">
        <v>22</v>
      </c>
      <c r="H299" s="1851" t="s">
        <v>22</v>
      </c>
      <c r="I299" s="1851" t="s">
        <v>1054</v>
      </c>
    </row>
    <row customHeight="1" ht="11.25">
      <c r="A300" s="1851" t="s">
        <v>2569</v>
      </c>
      <c r="B300" s="1851" t="s">
        <v>16</v>
      </c>
      <c r="C300" s="1851" t="s">
        <v>3297</v>
      </c>
      <c r="D300" s="1851" t="s">
        <v>3298</v>
      </c>
      <c r="E300" s="1851" t="s">
        <v>3299</v>
      </c>
      <c r="F300" s="1851" t="s">
        <v>2701</v>
      </c>
      <c r="G300" s="1851" t="s">
        <v>22</v>
      </c>
      <c r="H300" s="1851" t="s">
        <v>22</v>
      </c>
      <c r="I300" s="1851" t="s">
        <v>1054</v>
      </c>
    </row>
    <row customHeight="1" ht="11.25">
      <c r="A301" s="1851" t="s">
        <v>2569</v>
      </c>
      <c r="B301" s="1851" t="s">
        <v>16</v>
      </c>
      <c r="C301" s="1851" t="s">
        <v>3300</v>
      </c>
      <c r="D301" s="1851" t="s">
        <v>3301</v>
      </c>
      <c r="E301" s="1851" t="s">
        <v>3302</v>
      </c>
      <c r="F301" s="1851" t="s">
        <v>2576</v>
      </c>
      <c r="G301" s="1851" t="s">
        <v>22</v>
      </c>
      <c r="H301" s="1851" t="s">
        <v>22</v>
      </c>
      <c r="I301" s="1851" t="s">
        <v>1054</v>
      </c>
    </row>
    <row customHeight="1" ht="11.25">
      <c r="A302" s="1851" t="s">
        <v>2569</v>
      </c>
      <c r="B302" s="1851" t="s">
        <v>16</v>
      </c>
      <c r="C302" s="1851" t="s">
        <v>3303</v>
      </c>
      <c r="D302" s="1851" t="s">
        <v>3304</v>
      </c>
      <c r="E302" s="1851" t="s">
        <v>3305</v>
      </c>
      <c r="F302" s="1851" t="s">
        <v>2733</v>
      </c>
      <c r="G302" s="1851" t="s">
        <v>22</v>
      </c>
      <c r="H302" s="1851" t="s">
        <v>22</v>
      </c>
      <c r="I302" s="1851" t="s">
        <v>1054</v>
      </c>
    </row>
    <row customHeight="1" ht="11.25">
      <c r="A303" s="1851" t="s">
        <v>2569</v>
      </c>
      <c r="B303" s="1851" t="s">
        <v>16</v>
      </c>
      <c r="C303" s="1851" t="s">
        <v>3306</v>
      </c>
      <c r="D303" s="1851" t="s">
        <v>3307</v>
      </c>
      <c r="E303" s="1851" t="s">
        <v>3308</v>
      </c>
      <c r="F303" s="1851" t="s">
        <v>3088</v>
      </c>
      <c r="G303" s="1851" t="s">
        <v>3309</v>
      </c>
      <c r="H303" s="1851" t="s">
        <v>22</v>
      </c>
      <c r="I303" s="1851" t="s">
        <v>1054</v>
      </c>
    </row>
    <row customHeight="1" ht="11.25">
      <c r="A304" s="1851" t="s">
        <v>2569</v>
      </c>
      <c r="B304" s="1851" t="s">
        <v>16</v>
      </c>
      <c r="C304" s="1851" t="s">
        <v>3310</v>
      </c>
      <c r="D304" s="1851" t="s">
        <v>3311</v>
      </c>
      <c r="E304" s="1851" t="s">
        <v>3312</v>
      </c>
      <c r="F304" s="1851" t="s">
        <v>2634</v>
      </c>
      <c r="G304" s="1851" t="s">
        <v>22</v>
      </c>
      <c r="H304" s="1851" t="s">
        <v>22</v>
      </c>
      <c r="I304" s="1851" t="s">
        <v>1054</v>
      </c>
    </row>
    <row customHeight="1" ht="11.25">
      <c r="A305" s="1851" t="s">
        <v>2569</v>
      </c>
      <c r="B305" s="1851" t="s">
        <v>16</v>
      </c>
      <c r="C305" s="1851" t="s">
        <v>2991</v>
      </c>
      <c r="D305" s="1851" t="s">
        <v>2992</v>
      </c>
      <c r="E305" s="1851" t="s">
        <v>2993</v>
      </c>
      <c r="F305" s="1851" t="s">
        <v>2601</v>
      </c>
      <c r="G305" s="1851" t="s">
        <v>22</v>
      </c>
      <c r="H305" s="1851" t="s">
        <v>22</v>
      </c>
      <c r="I305" s="1851" t="s">
        <v>1054</v>
      </c>
    </row>
    <row customHeight="1" ht="11.25">
      <c r="A306" s="1851" t="s">
        <v>2569</v>
      </c>
      <c r="B306" s="1851" t="s">
        <v>16</v>
      </c>
      <c r="C306" s="1851" t="s">
        <v>22</v>
      </c>
      <c r="D306" s="1851" t="s">
        <v>2570</v>
      </c>
      <c r="E306" s="1851" t="s">
        <v>2571</v>
      </c>
      <c r="F306" s="1851" t="s">
        <v>2572</v>
      </c>
      <c r="G306" s="1851" t="s">
        <v>22</v>
      </c>
      <c r="H306" s="1851" t="s">
        <v>22</v>
      </c>
      <c r="I306" s="1851" t="s">
        <v>1108</v>
      </c>
    </row>
    <row customHeight="1" ht="11.25">
      <c r="A307" s="1851" t="s">
        <v>2569</v>
      </c>
      <c r="B307" s="1851" t="s">
        <v>16</v>
      </c>
      <c r="C307" s="1851" t="s">
        <v>2573</v>
      </c>
      <c r="D307" s="1851" t="s">
        <v>2574</v>
      </c>
      <c r="E307" s="1851" t="s">
        <v>2575</v>
      </c>
      <c r="F307" s="1851" t="s">
        <v>2576</v>
      </c>
      <c r="G307" s="1851" t="s">
        <v>22</v>
      </c>
      <c r="H307" s="1851" t="s">
        <v>22</v>
      </c>
      <c r="I307" s="1851" t="s">
        <v>1108</v>
      </c>
    </row>
    <row customHeight="1" ht="11.25">
      <c r="A308" s="1851" t="s">
        <v>2569</v>
      </c>
      <c r="B308" s="1851" t="s">
        <v>16</v>
      </c>
      <c r="C308" s="1851" t="s">
        <v>2581</v>
      </c>
      <c r="D308" s="1851" t="s">
        <v>2582</v>
      </c>
      <c r="E308" s="1851" t="s">
        <v>2583</v>
      </c>
      <c r="F308" s="1851" t="s">
        <v>2584</v>
      </c>
      <c r="G308" s="1851" t="s">
        <v>22</v>
      </c>
      <c r="H308" s="1851" t="s">
        <v>22</v>
      </c>
      <c r="I308" s="1851" t="s">
        <v>1108</v>
      </c>
    </row>
    <row customHeight="1" ht="11.25">
      <c r="A309" s="1851" t="s">
        <v>2569</v>
      </c>
      <c r="B309" s="1851" t="s">
        <v>16</v>
      </c>
      <c r="C309" s="1851" t="s">
        <v>2589</v>
      </c>
      <c r="D309" s="1851" t="s">
        <v>2586</v>
      </c>
      <c r="E309" s="1851" t="s">
        <v>2587</v>
      </c>
      <c r="F309" s="1851" t="s">
        <v>2590</v>
      </c>
      <c r="G309" s="1851" t="s">
        <v>2591</v>
      </c>
      <c r="H309" s="1851" t="s">
        <v>22</v>
      </c>
      <c r="I309" s="1851" t="s">
        <v>1108</v>
      </c>
    </row>
    <row customHeight="1" ht="11.25">
      <c r="A310" s="1851" t="s">
        <v>2569</v>
      </c>
      <c r="B310" s="1851" t="s">
        <v>16</v>
      </c>
      <c r="C310" s="1851" t="s">
        <v>2598</v>
      </c>
      <c r="D310" s="1851" t="s">
        <v>2599</v>
      </c>
      <c r="E310" s="1851" t="s">
        <v>2600</v>
      </c>
      <c r="F310" s="1851" t="s">
        <v>2601</v>
      </c>
      <c r="G310" s="1851" t="s">
        <v>22</v>
      </c>
      <c r="H310" s="1851" t="s">
        <v>22</v>
      </c>
      <c r="I310" s="1851" t="s">
        <v>1108</v>
      </c>
    </row>
    <row customHeight="1" ht="11.25">
      <c r="A311" s="1851" t="s">
        <v>2569</v>
      </c>
      <c r="B311" s="1851" t="s">
        <v>16</v>
      </c>
      <c r="C311" s="1851" t="s">
        <v>2610</v>
      </c>
      <c r="D311" s="1851" t="s">
        <v>2611</v>
      </c>
      <c r="E311" s="1851" t="s">
        <v>2612</v>
      </c>
      <c r="F311" s="1851" t="s">
        <v>2613</v>
      </c>
      <c r="G311" s="1851" t="s">
        <v>22</v>
      </c>
      <c r="H311" s="1851" t="s">
        <v>22</v>
      </c>
      <c r="I311" s="1851" t="s">
        <v>1108</v>
      </c>
    </row>
    <row customHeight="1" ht="11.25">
      <c r="A312" s="1851" t="s">
        <v>2569</v>
      </c>
      <c r="B312" s="1851" t="s">
        <v>16</v>
      </c>
      <c r="C312" s="1851" t="s">
        <v>3016</v>
      </c>
      <c r="D312" s="1851" t="s">
        <v>3017</v>
      </c>
      <c r="E312" s="1851" t="s">
        <v>3018</v>
      </c>
      <c r="F312" s="1851" t="s">
        <v>2812</v>
      </c>
      <c r="G312" s="1851" t="s">
        <v>3019</v>
      </c>
      <c r="H312" s="1851" t="s">
        <v>22</v>
      </c>
      <c r="I312" s="1851" t="s">
        <v>1108</v>
      </c>
    </row>
    <row customHeight="1" ht="11.25">
      <c r="A313" s="1851" t="s">
        <v>2569</v>
      </c>
      <c r="B313" s="1851" t="s">
        <v>16</v>
      </c>
      <c r="C313" s="1851" t="s">
        <v>3313</v>
      </c>
      <c r="D313" s="1851" t="s">
        <v>3314</v>
      </c>
      <c r="E313" s="1851" t="s">
        <v>3315</v>
      </c>
      <c r="F313" s="1851" t="s">
        <v>2572</v>
      </c>
      <c r="G313" s="1851" t="s">
        <v>22</v>
      </c>
      <c r="H313" s="1851" t="s">
        <v>22</v>
      </c>
      <c r="I313" s="1851" t="s">
        <v>1108</v>
      </c>
    </row>
    <row customHeight="1" ht="11.25">
      <c r="A314" s="1851" t="s">
        <v>2569</v>
      </c>
      <c r="B314" s="1851" t="s">
        <v>16</v>
      </c>
      <c r="C314" s="1851" t="s">
        <v>2619</v>
      </c>
      <c r="D314" s="1851" t="s">
        <v>2620</v>
      </c>
      <c r="E314" s="1851" t="s">
        <v>2621</v>
      </c>
      <c r="F314" s="1851" t="s">
        <v>2580</v>
      </c>
      <c r="G314" s="1851" t="s">
        <v>22</v>
      </c>
      <c r="H314" s="1851" t="s">
        <v>22</v>
      </c>
      <c r="I314" s="1851" t="s">
        <v>1108</v>
      </c>
    </row>
    <row customHeight="1" ht="11.25">
      <c r="A315" s="1851" t="s">
        <v>2569</v>
      </c>
      <c r="B315" s="1851" t="s">
        <v>16</v>
      </c>
      <c r="C315" s="1851" t="s">
        <v>2622</v>
      </c>
      <c r="D315" s="1851" t="s">
        <v>2623</v>
      </c>
      <c r="E315" s="1851" t="s">
        <v>2624</v>
      </c>
      <c r="F315" s="1851" t="s">
        <v>2625</v>
      </c>
      <c r="G315" s="1851" t="s">
        <v>22</v>
      </c>
      <c r="H315" s="1851" t="s">
        <v>22</v>
      </c>
      <c r="I315" s="1851" t="s">
        <v>1108</v>
      </c>
    </row>
    <row customHeight="1" ht="11.25">
      <c r="A316" s="1851" t="s">
        <v>2569</v>
      </c>
      <c r="B316" s="1851" t="s">
        <v>16</v>
      </c>
      <c r="C316" s="1851" t="s">
        <v>3316</v>
      </c>
      <c r="D316" s="1851" t="s">
        <v>3317</v>
      </c>
      <c r="E316" s="1851" t="s">
        <v>3318</v>
      </c>
      <c r="F316" s="1851" t="s">
        <v>2576</v>
      </c>
      <c r="G316" s="1851" t="s">
        <v>3319</v>
      </c>
      <c r="H316" s="1851" t="s">
        <v>22</v>
      </c>
      <c r="I316" s="1851" t="s">
        <v>1108</v>
      </c>
    </row>
    <row customHeight="1" ht="11.25">
      <c r="A317" s="1851" t="s">
        <v>2569</v>
      </c>
      <c r="B317" s="1851" t="s">
        <v>16</v>
      </c>
      <c r="C317" s="1851" t="s">
        <v>3020</v>
      </c>
      <c r="D317" s="1851" t="s">
        <v>3021</v>
      </c>
      <c r="E317" s="1851" t="s">
        <v>3022</v>
      </c>
      <c r="F317" s="1851" t="s">
        <v>2601</v>
      </c>
      <c r="G317" s="1851" t="s">
        <v>3023</v>
      </c>
      <c r="H317" s="1851" t="s">
        <v>22</v>
      </c>
      <c r="I317" s="1851" t="s">
        <v>1108</v>
      </c>
    </row>
    <row customHeight="1" ht="11.25">
      <c r="A318" s="1851" t="s">
        <v>2569</v>
      </c>
      <c r="B318" s="1851" t="s">
        <v>16</v>
      </c>
      <c r="C318" s="1851" t="s">
        <v>3024</v>
      </c>
      <c r="D318" s="1851" t="s">
        <v>3025</v>
      </c>
      <c r="E318" s="1851" t="s">
        <v>3026</v>
      </c>
      <c r="F318" s="1851" t="s">
        <v>2580</v>
      </c>
      <c r="G318" s="1851" t="s">
        <v>22</v>
      </c>
      <c r="H318" s="1851" t="s">
        <v>22</v>
      </c>
      <c r="I318" s="1851" t="s">
        <v>1108</v>
      </c>
    </row>
    <row customHeight="1" ht="11.25">
      <c r="A319" s="1851" t="s">
        <v>2569</v>
      </c>
      <c r="B319" s="1851" t="s">
        <v>16</v>
      </c>
      <c r="C319" s="1851" t="s">
        <v>2639</v>
      </c>
      <c r="D319" s="1851" t="s">
        <v>2640</v>
      </c>
      <c r="E319" s="1851" t="s">
        <v>2641</v>
      </c>
      <c r="F319" s="1851" t="s">
        <v>2642</v>
      </c>
      <c r="G319" s="1851" t="s">
        <v>22</v>
      </c>
      <c r="H319" s="1851" t="s">
        <v>22</v>
      </c>
      <c r="I319" s="1851" t="s">
        <v>1108</v>
      </c>
    </row>
    <row customHeight="1" ht="11.25">
      <c r="A320" s="1851" t="s">
        <v>2569</v>
      </c>
      <c r="B320" s="1851" t="s">
        <v>16</v>
      </c>
      <c r="C320" s="1851" t="s">
        <v>3027</v>
      </c>
      <c r="D320" s="1851" t="s">
        <v>3028</v>
      </c>
      <c r="E320" s="1851" t="s">
        <v>3029</v>
      </c>
      <c r="F320" s="1851" t="s">
        <v>2990</v>
      </c>
      <c r="G320" s="1851" t="s">
        <v>3030</v>
      </c>
      <c r="H320" s="1851" t="s">
        <v>22</v>
      </c>
      <c r="I320" s="1851" t="s">
        <v>1108</v>
      </c>
    </row>
    <row customHeight="1" ht="11.25">
      <c r="A321" s="1851" t="s">
        <v>2569</v>
      </c>
      <c r="B321" s="1851" t="s">
        <v>16</v>
      </c>
      <c r="C321" s="1851" t="s">
        <v>2651</v>
      </c>
      <c r="D321" s="1851" t="s">
        <v>2652</v>
      </c>
      <c r="E321" s="1851" t="s">
        <v>2653</v>
      </c>
      <c r="F321" s="1851" t="s">
        <v>2572</v>
      </c>
      <c r="G321" s="1851" t="s">
        <v>2654</v>
      </c>
      <c r="H321" s="1851" t="s">
        <v>22</v>
      </c>
      <c r="I321" s="1851" t="s">
        <v>1108</v>
      </c>
    </row>
    <row customHeight="1" ht="11.25">
      <c r="A322" s="1851" t="s">
        <v>2569</v>
      </c>
      <c r="B322" s="1851" t="s">
        <v>16</v>
      </c>
      <c r="C322" s="1851" t="s">
        <v>3031</v>
      </c>
      <c r="D322" s="1851" t="s">
        <v>3032</v>
      </c>
      <c r="E322" s="1851" t="s">
        <v>3033</v>
      </c>
      <c r="F322" s="1851" t="s">
        <v>3034</v>
      </c>
      <c r="G322" s="1851" t="s">
        <v>22</v>
      </c>
      <c r="H322" s="1851" t="s">
        <v>22</v>
      </c>
      <c r="I322" s="1851" t="s">
        <v>1108</v>
      </c>
    </row>
    <row customHeight="1" ht="11.25">
      <c r="A323" s="1851" t="s">
        <v>2569</v>
      </c>
      <c r="B323" s="1851" t="s">
        <v>16</v>
      </c>
      <c r="C323" s="1851" t="s">
        <v>2673</v>
      </c>
      <c r="D323" s="1851" t="s">
        <v>2674</v>
      </c>
      <c r="E323" s="1851" t="s">
        <v>2671</v>
      </c>
      <c r="F323" s="1851" t="s">
        <v>2675</v>
      </c>
      <c r="G323" s="1851" t="s">
        <v>22</v>
      </c>
      <c r="H323" s="1851" t="s">
        <v>22</v>
      </c>
      <c r="I323" s="1851" t="s">
        <v>1108</v>
      </c>
    </row>
    <row customHeight="1" ht="11.25">
      <c r="A324" s="1851" t="s">
        <v>2569</v>
      </c>
      <c r="B324" s="1851" t="s">
        <v>16</v>
      </c>
      <c r="C324" s="1851" t="s">
        <v>3035</v>
      </c>
      <c r="D324" s="1851" t="s">
        <v>3036</v>
      </c>
      <c r="E324" s="1851" t="s">
        <v>3037</v>
      </c>
      <c r="F324" s="1851" t="s">
        <v>2709</v>
      </c>
      <c r="G324" s="1851" t="s">
        <v>22</v>
      </c>
      <c r="H324" s="1851" t="s">
        <v>3038</v>
      </c>
      <c r="I324" s="1851" t="s">
        <v>1108</v>
      </c>
    </row>
    <row customHeight="1" ht="11.25">
      <c r="A325" s="1851" t="s">
        <v>2569</v>
      </c>
      <c r="B325" s="1851" t="s">
        <v>16</v>
      </c>
      <c r="C325" s="1851" t="s">
        <v>3042</v>
      </c>
      <c r="D325" s="1851" t="s">
        <v>3043</v>
      </c>
      <c r="E325" s="1851" t="s">
        <v>3044</v>
      </c>
      <c r="F325" s="1851" t="s">
        <v>713</v>
      </c>
      <c r="G325" s="1851" t="s">
        <v>22</v>
      </c>
      <c r="H325" s="1851" t="s">
        <v>22</v>
      </c>
      <c r="I325" s="1851" t="s">
        <v>1108</v>
      </c>
    </row>
    <row customHeight="1" ht="11.25">
      <c r="A326" s="1851" t="s">
        <v>2569</v>
      </c>
      <c r="B326" s="1851" t="s">
        <v>16</v>
      </c>
      <c r="C326" s="1851" t="s">
        <v>3048</v>
      </c>
      <c r="D326" s="1851" t="s">
        <v>45</v>
      </c>
      <c r="E326" s="1851" t="s">
        <v>48</v>
      </c>
      <c r="F326" s="1851" t="s">
        <v>3049</v>
      </c>
      <c r="G326" s="1851" t="s">
        <v>22</v>
      </c>
      <c r="H326" s="1851" t="s">
        <v>22</v>
      </c>
      <c r="I326" s="1851" t="s">
        <v>1108</v>
      </c>
    </row>
    <row customHeight="1" ht="11.25">
      <c r="A327" s="1851" t="s">
        <v>2569</v>
      </c>
      <c r="B327" s="1851" t="s">
        <v>16</v>
      </c>
      <c r="C327" s="1851" t="s">
        <v>2997</v>
      </c>
      <c r="D327" s="1851" t="s">
        <v>45</v>
      </c>
      <c r="E327" s="1851" t="s">
        <v>48</v>
      </c>
      <c r="F327" s="1851" t="s">
        <v>2998</v>
      </c>
      <c r="G327" s="1851" t="s">
        <v>22</v>
      </c>
      <c r="H327" s="1851" t="s">
        <v>22</v>
      </c>
      <c r="I327" s="1851" t="s">
        <v>1108</v>
      </c>
    </row>
    <row customHeight="1" ht="11.25">
      <c r="A328" s="1851" t="s">
        <v>2569</v>
      </c>
      <c r="B328" s="1851" t="s">
        <v>16</v>
      </c>
      <c r="C328" s="1851" t="s">
        <v>2999</v>
      </c>
      <c r="D328" s="1851" t="s">
        <v>45</v>
      </c>
      <c r="E328" s="1851" t="s">
        <v>48</v>
      </c>
      <c r="F328" s="1851" t="s">
        <v>3000</v>
      </c>
      <c r="G328" s="1851" t="s">
        <v>22</v>
      </c>
      <c r="H328" s="1851" t="s">
        <v>22</v>
      </c>
      <c r="I328" s="1851" t="s">
        <v>1108</v>
      </c>
    </row>
    <row customHeight="1" ht="11.25">
      <c r="A329" s="1851" t="s">
        <v>2569</v>
      </c>
      <c r="B329" s="1851" t="s">
        <v>16</v>
      </c>
      <c r="C329" s="1851" t="s">
        <v>3001</v>
      </c>
      <c r="D329" s="1851" t="s">
        <v>45</v>
      </c>
      <c r="E329" s="1851" t="s">
        <v>48</v>
      </c>
      <c r="F329" s="1851" t="s">
        <v>3002</v>
      </c>
      <c r="G329" s="1851" t="s">
        <v>22</v>
      </c>
      <c r="H329" s="1851" t="s">
        <v>22</v>
      </c>
      <c r="I329" s="1851" t="s">
        <v>1108</v>
      </c>
    </row>
    <row customHeight="1" ht="11.25">
      <c r="A330" s="1851" t="s">
        <v>2569</v>
      </c>
      <c r="B330" s="1851" t="s">
        <v>16</v>
      </c>
      <c r="C330" s="1851" t="s">
        <v>3050</v>
      </c>
      <c r="D330" s="1851" t="s">
        <v>45</v>
      </c>
      <c r="E330" s="1851" t="s">
        <v>48</v>
      </c>
      <c r="F330" s="1851" t="s">
        <v>3051</v>
      </c>
      <c r="G330" s="1851" t="s">
        <v>22</v>
      </c>
      <c r="H330" s="1851" t="s">
        <v>22</v>
      </c>
      <c r="I330" s="1851" t="s">
        <v>1108</v>
      </c>
    </row>
    <row customHeight="1" ht="11.25">
      <c r="A331" s="1851" t="s">
        <v>2569</v>
      </c>
      <c r="B331" s="1851" t="s">
        <v>16</v>
      </c>
      <c r="C331" s="1851" t="s">
        <v>3003</v>
      </c>
      <c r="D331" s="1851" t="s">
        <v>45</v>
      </c>
      <c r="E331" s="1851" t="s">
        <v>48</v>
      </c>
      <c r="F331" s="1851" t="s">
        <v>3004</v>
      </c>
      <c r="G331" s="1851" t="s">
        <v>22</v>
      </c>
      <c r="H331" s="1851" t="s">
        <v>22</v>
      </c>
      <c r="I331" s="1851" t="s">
        <v>1108</v>
      </c>
    </row>
    <row customHeight="1" ht="11.25">
      <c r="A332" s="1851" t="s">
        <v>2569</v>
      </c>
      <c r="B332" s="1851" t="s">
        <v>16</v>
      </c>
      <c r="C332" s="1851" t="s">
        <v>3005</v>
      </c>
      <c r="D332" s="1851" t="s">
        <v>45</v>
      </c>
      <c r="E332" s="1851" t="s">
        <v>48</v>
      </c>
      <c r="F332" s="1851" t="s">
        <v>3006</v>
      </c>
      <c r="G332" s="1851" t="s">
        <v>22</v>
      </c>
      <c r="H332" s="1851" t="s">
        <v>22</v>
      </c>
      <c r="I332" s="1851" t="s">
        <v>1108</v>
      </c>
    </row>
    <row customHeight="1" ht="11.25">
      <c r="A333" s="1851" t="s">
        <v>2569</v>
      </c>
      <c r="B333" s="1851" t="s">
        <v>16</v>
      </c>
      <c r="C333" s="1851" t="s">
        <v>3007</v>
      </c>
      <c r="D333" s="1851" t="s">
        <v>45</v>
      </c>
      <c r="E333" s="1851" t="s">
        <v>48</v>
      </c>
      <c r="F333" s="1851" t="s">
        <v>3008</v>
      </c>
      <c r="G333" s="1851" t="s">
        <v>22</v>
      </c>
      <c r="H333" s="1851" t="s">
        <v>22</v>
      </c>
      <c r="I333" s="1851" t="s">
        <v>1108</v>
      </c>
    </row>
    <row customHeight="1" ht="11.25">
      <c r="A334" s="1851" t="s">
        <v>2569</v>
      </c>
      <c r="B334" s="1851" t="s">
        <v>16</v>
      </c>
      <c r="C334" s="1851" t="s">
        <v>3009</v>
      </c>
      <c r="D334" s="1851" t="s">
        <v>45</v>
      </c>
      <c r="E334" s="1851" t="s">
        <v>48</v>
      </c>
      <c r="F334" s="1851" t="s">
        <v>3010</v>
      </c>
      <c r="G334" s="1851" t="s">
        <v>22</v>
      </c>
      <c r="H334" s="1851" t="s">
        <v>22</v>
      </c>
      <c r="I334" s="1851" t="s">
        <v>1108</v>
      </c>
    </row>
    <row customHeight="1" ht="11.25">
      <c r="A335" s="1851" t="s">
        <v>2569</v>
      </c>
      <c r="B335" s="1851" t="s">
        <v>16</v>
      </c>
      <c r="C335" s="1851" t="s">
        <v>3011</v>
      </c>
      <c r="D335" s="1851" t="s">
        <v>45</v>
      </c>
      <c r="E335" s="1851" t="s">
        <v>48</v>
      </c>
      <c r="F335" s="1851" t="s">
        <v>3012</v>
      </c>
      <c r="G335" s="1851" t="s">
        <v>22</v>
      </c>
      <c r="H335" s="1851" t="s">
        <v>22</v>
      </c>
      <c r="I335" s="1851" t="s">
        <v>1108</v>
      </c>
    </row>
    <row customHeight="1" ht="11.25">
      <c r="A336" s="1851" t="s">
        <v>2569</v>
      </c>
      <c r="B336" s="1851" t="s">
        <v>16</v>
      </c>
      <c r="C336" s="1851" t="s">
        <v>13</v>
      </c>
      <c r="D336" s="1851" t="s">
        <v>45</v>
      </c>
      <c r="E336" s="1851" t="s">
        <v>48</v>
      </c>
      <c r="F336" s="1851" t="s">
        <v>50</v>
      </c>
      <c r="G336" s="1851" t="s">
        <v>22</v>
      </c>
      <c r="H336" s="1851" t="s">
        <v>22</v>
      </c>
      <c r="I336" s="1851" t="s">
        <v>1108</v>
      </c>
    </row>
    <row customHeight="1" ht="11.25">
      <c r="A337" s="1851" t="s">
        <v>2569</v>
      </c>
      <c r="B337" s="1851" t="s">
        <v>16</v>
      </c>
      <c r="C337" s="1851" t="s">
        <v>3052</v>
      </c>
      <c r="D337" s="1851" t="s">
        <v>3053</v>
      </c>
      <c r="E337" s="1851" t="s">
        <v>3054</v>
      </c>
      <c r="F337" s="1851" t="s">
        <v>2601</v>
      </c>
      <c r="G337" s="1851" t="s">
        <v>22</v>
      </c>
      <c r="H337" s="1851" t="s">
        <v>22</v>
      </c>
      <c r="I337" s="1851" t="s">
        <v>1108</v>
      </c>
    </row>
    <row customHeight="1" ht="11.25">
      <c r="A338" s="1851" t="s">
        <v>2569</v>
      </c>
      <c r="B338" s="1851" t="s">
        <v>16</v>
      </c>
      <c r="C338" s="1851" t="s">
        <v>3055</v>
      </c>
      <c r="D338" s="1851" t="s">
        <v>3053</v>
      </c>
      <c r="E338" s="1851" t="s">
        <v>3054</v>
      </c>
      <c r="F338" s="1851" t="s">
        <v>3056</v>
      </c>
      <c r="G338" s="1851" t="s">
        <v>22</v>
      </c>
      <c r="H338" s="1851" t="s">
        <v>22</v>
      </c>
      <c r="I338" s="1851" t="s">
        <v>1108</v>
      </c>
    </row>
    <row customHeight="1" ht="11.25">
      <c r="A339" s="1851" t="s">
        <v>2569</v>
      </c>
      <c r="B339" s="1851" t="s">
        <v>16</v>
      </c>
      <c r="C339" s="1851" t="s">
        <v>3057</v>
      </c>
      <c r="D339" s="1851" t="s">
        <v>3014</v>
      </c>
      <c r="E339" s="1851" t="s">
        <v>48</v>
      </c>
      <c r="F339" s="1851" t="s">
        <v>3058</v>
      </c>
      <c r="G339" s="1851" t="s">
        <v>22</v>
      </c>
      <c r="H339" s="1851" t="s">
        <v>22</v>
      </c>
      <c r="I339" s="1851" t="s">
        <v>1108</v>
      </c>
    </row>
    <row customHeight="1" ht="11.25">
      <c r="A340" s="1851" t="s">
        <v>2569</v>
      </c>
      <c r="B340" s="1851" t="s">
        <v>16</v>
      </c>
      <c r="C340" s="1851" t="s">
        <v>3013</v>
      </c>
      <c r="D340" s="1851" t="s">
        <v>3014</v>
      </c>
      <c r="E340" s="1851" t="s">
        <v>48</v>
      </c>
      <c r="F340" s="1851" t="s">
        <v>3015</v>
      </c>
      <c r="G340" s="1851" t="s">
        <v>22</v>
      </c>
      <c r="H340" s="1851" t="s">
        <v>22</v>
      </c>
      <c r="I340" s="1851" t="s">
        <v>1108</v>
      </c>
    </row>
    <row customHeight="1" ht="11.25">
      <c r="A341" s="1851" t="s">
        <v>2569</v>
      </c>
      <c r="B341" s="1851" t="s">
        <v>16</v>
      </c>
      <c r="C341" s="1851" t="s">
        <v>3320</v>
      </c>
      <c r="D341" s="1851" t="s">
        <v>3321</v>
      </c>
      <c r="E341" s="1851" t="s">
        <v>3322</v>
      </c>
      <c r="F341" s="1851" t="s">
        <v>2829</v>
      </c>
      <c r="G341" s="1851" t="s">
        <v>3323</v>
      </c>
      <c r="H341" s="1851" t="s">
        <v>22</v>
      </c>
      <c r="I341" s="1851" t="s">
        <v>1108</v>
      </c>
    </row>
    <row customHeight="1" ht="11.25">
      <c r="A342" s="1851" t="s">
        <v>2569</v>
      </c>
      <c r="B342" s="1851" t="s">
        <v>16</v>
      </c>
      <c r="C342" s="1851" t="s">
        <v>3062</v>
      </c>
      <c r="D342" s="1851" t="s">
        <v>3063</v>
      </c>
      <c r="E342" s="1851" t="s">
        <v>3064</v>
      </c>
      <c r="F342" s="1851" t="s">
        <v>2799</v>
      </c>
      <c r="G342" s="1851" t="s">
        <v>22</v>
      </c>
      <c r="H342" s="1851" t="s">
        <v>22</v>
      </c>
      <c r="I342" s="1851" t="s">
        <v>1108</v>
      </c>
    </row>
    <row customHeight="1" ht="11.25">
      <c r="A343" s="1851" t="s">
        <v>2569</v>
      </c>
      <c r="B343" s="1851" t="s">
        <v>16</v>
      </c>
      <c r="C343" s="1851" t="s">
        <v>3065</v>
      </c>
      <c r="D343" s="1851" t="s">
        <v>3066</v>
      </c>
      <c r="E343" s="1851" t="s">
        <v>3067</v>
      </c>
      <c r="F343" s="1851" t="s">
        <v>2908</v>
      </c>
      <c r="G343" s="1851" t="s">
        <v>22</v>
      </c>
      <c r="H343" s="1851" t="s">
        <v>22</v>
      </c>
      <c r="I343" s="1851" t="s">
        <v>1108</v>
      </c>
    </row>
    <row customHeight="1" ht="11.25">
      <c r="A344" s="1851" t="s">
        <v>2569</v>
      </c>
      <c r="B344" s="1851" t="s">
        <v>16</v>
      </c>
      <c r="C344" s="1851" t="s">
        <v>3068</v>
      </c>
      <c r="D344" s="1851" t="s">
        <v>3069</v>
      </c>
      <c r="E344" s="1851" t="s">
        <v>3070</v>
      </c>
      <c r="F344" s="1851" t="s">
        <v>2634</v>
      </c>
      <c r="G344" s="1851" t="s">
        <v>22</v>
      </c>
      <c r="H344" s="1851" t="s">
        <v>22</v>
      </c>
      <c r="I344" s="1851" t="s">
        <v>1108</v>
      </c>
    </row>
    <row customHeight="1" ht="11.25">
      <c r="A345" s="1851" t="s">
        <v>2569</v>
      </c>
      <c r="B345" s="1851" t="s">
        <v>16</v>
      </c>
      <c r="C345" s="1851" t="s">
        <v>3071</v>
      </c>
      <c r="D345" s="1851" t="s">
        <v>3072</v>
      </c>
      <c r="E345" s="1851" t="s">
        <v>3073</v>
      </c>
      <c r="F345" s="1851" t="s">
        <v>2726</v>
      </c>
      <c r="G345" s="1851" t="s">
        <v>22</v>
      </c>
      <c r="H345" s="1851" t="s">
        <v>22</v>
      </c>
      <c r="I345" s="1851" t="s">
        <v>1108</v>
      </c>
    </row>
    <row customHeight="1" ht="11.25">
      <c r="A346" s="1851" t="s">
        <v>2569</v>
      </c>
      <c r="B346" s="1851" t="s">
        <v>16</v>
      </c>
      <c r="C346" s="1851" t="s">
        <v>3078</v>
      </c>
      <c r="D346" s="1851" t="s">
        <v>3079</v>
      </c>
      <c r="E346" s="1851" t="s">
        <v>3080</v>
      </c>
      <c r="F346" s="1851" t="s">
        <v>2634</v>
      </c>
      <c r="G346" s="1851" t="s">
        <v>22</v>
      </c>
      <c r="H346" s="1851" t="s">
        <v>22</v>
      </c>
      <c r="I346" s="1851" t="s">
        <v>1108</v>
      </c>
    </row>
    <row customHeight="1" ht="11.25">
      <c r="A347" s="1851" t="s">
        <v>2569</v>
      </c>
      <c r="B347" s="1851" t="s">
        <v>16</v>
      </c>
      <c r="C347" s="1851" t="s">
        <v>2723</v>
      </c>
      <c r="D347" s="1851" t="s">
        <v>2724</v>
      </c>
      <c r="E347" s="1851" t="s">
        <v>2725</v>
      </c>
      <c r="F347" s="1851" t="s">
        <v>2726</v>
      </c>
      <c r="G347" s="1851" t="s">
        <v>22</v>
      </c>
      <c r="H347" s="1851" t="s">
        <v>22</v>
      </c>
      <c r="I347" s="1851" t="s">
        <v>1108</v>
      </c>
    </row>
    <row customHeight="1" ht="11.25">
      <c r="A348" s="1851" t="s">
        <v>2569</v>
      </c>
      <c r="B348" s="1851" t="s">
        <v>16</v>
      </c>
      <c r="C348" s="1851" t="s">
        <v>3081</v>
      </c>
      <c r="D348" s="1851" t="s">
        <v>3082</v>
      </c>
      <c r="E348" s="1851" t="s">
        <v>3083</v>
      </c>
      <c r="F348" s="1851" t="s">
        <v>2743</v>
      </c>
      <c r="G348" s="1851" t="s">
        <v>3084</v>
      </c>
      <c r="H348" s="1851" t="s">
        <v>22</v>
      </c>
      <c r="I348" s="1851" t="s">
        <v>1108</v>
      </c>
    </row>
    <row customHeight="1" ht="11.25">
      <c r="A349" s="1851" t="s">
        <v>2569</v>
      </c>
      <c r="B349" s="1851" t="s">
        <v>16</v>
      </c>
      <c r="C349" s="1851" t="s">
        <v>3085</v>
      </c>
      <c r="D349" s="1851" t="s">
        <v>3086</v>
      </c>
      <c r="E349" s="1851" t="s">
        <v>3087</v>
      </c>
      <c r="F349" s="1851" t="s">
        <v>3088</v>
      </c>
      <c r="G349" s="1851" t="s">
        <v>22</v>
      </c>
      <c r="H349" s="1851" t="s">
        <v>22</v>
      </c>
      <c r="I349" s="1851" t="s">
        <v>1108</v>
      </c>
    </row>
    <row customHeight="1" ht="11.25">
      <c r="A350" s="1851" t="s">
        <v>2569</v>
      </c>
      <c r="B350" s="1851" t="s">
        <v>16</v>
      </c>
      <c r="C350" s="1851" t="s">
        <v>3089</v>
      </c>
      <c r="D350" s="1851" t="s">
        <v>3090</v>
      </c>
      <c r="E350" s="1851" t="s">
        <v>3091</v>
      </c>
      <c r="F350" s="1851" t="s">
        <v>2613</v>
      </c>
      <c r="G350" s="1851" t="s">
        <v>3092</v>
      </c>
      <c r="H350" s="1851" t="s">
        <v>22</v>
      </c>
      <c r="I350" s="1851" t="s">
        <v>1108</v>
      </c>
    </row>
    <row customHeight="1" ht="11.25">
      <c r="A351" s="1851" t="s">
        <v>2569</v>
      </c>
      <c r="B351" s="1851" t="s">
        <v>16</v>
      </c>
      <c r="C351" s="1851" t="s">
        <v>3093</v>
      </c>
      <c r="D351" s="1851" t="s">
        <v>3094</v>
      </c>
      <c r="E351" s="1851" t="s">
        <v>3095</v>
      </c>
      <c r="F351" s="1851" t="s">
        <v>2613</v>
      </c>
      <c r="G351" s="1851" t="s">
        <v>3096</v>
      </c>
      <c r="H351" s="1851" t="s">
        <v>22</v>
      </c>
      <c r="I351" s="1851" t="s">
        <v>1108</v>
      </c>
    </row>
    <row customHeight="1" ht="11.25">
      <c r="A352" s="1851" t="s">
        <v>2569</v>
      </c>
      <c r="B352" s="1851" t="s">
        <v>16</v>
      </c>
      <c r="C352" s="1851" t="s">
        <v>2730</v>
      </c>
      <c r="D352" s="1851" t="s">
        <v>2731</v>
      </c>
      <c r="E352" s="1851" t="s">
        <v>2732</v>
      </c>
      <c r="F352" s="1851" t="s">
        <v>2733</v>
      </c>
      <c r="G352" s="1851" t="s">
        <v>22</v>
      </c>
      <c r="H352" s="1851" t="s">
        <v>22</v>
      </c>
      <c r="I352" s="1851" t="s">
        <v>1108</v>
      </c>
    </row>
    <row customHeight="1" ht="11.25">
      <c r="A353" s="1851" t="s">
        <v>2569</v>
      </c>
      <c r="B353" s="1851" t="s">
        <v>16</v>
      </c>
      <c r="C353" s="1851" t="s">
        <v>3324</v>
      </c>
      <c r="D353" s="1851" t="s">
        <v>3325</v>
      </c>
      <c r="E353" s="1851" t="s">
        <v>3326</v>
      </c>
      <c r="F353" s="1851" t="s">
        <v>2743</v>
      </c>
      <c r="G353" s="1851" t="s">
        <v>22</v>
      </c>
      <c r="H353" s="1851" t="s">
        <v>22</v>
      </c>
      <c r="I353" s="1851" t="s">
        <v>1108</v>
      </c>
    </row>
    <row customHeight="1" ht="11.25">
      <c r="A354" s="1851" t="s">
        <v>2569</v>
      </c>
      <c r="B354" s="1851" t="s">
        <v>16</v>
      </c>
      <c r="C354" s="1851" t="s">
        <v>2734</v>
      </c>
      <c r="D354" s="1851" t="s">
        <v>2735</v>
      </c>
      <c r="E354" s="1851" t="s">
        <v>2736</v>
      </c>
      <c r="F354" s="1851" t="s">
        <v>2609</v>
      </c>
      <c r="G354" s="1851" t="s">
        <v>22</v>
      </c>
      <c r="H354" s="1851" t="s">
        <v>22</v>
      </c>
      <c r="I354" s="1851" t="s">
        <v>1108</v>
      </c>
    </row>
    <row customHeight="1" ht="11.25">
      <c r="A355" s="1851" t="s">
        <v>2569</v>
      </c>
      <c r="B355" s="1851" t="s">
        <v>16</v>
      </c>
      <c r="C355" s="1851" t="s">
        <v>2737</v>
      </c>
      <c r="D355" s="1851" t="s">
        <v>2738</v>
      </c>
      <c r="E355" s="1851" t="s">
        <v>2739</v>
      </c>
      <c r="F355" s="1851" t="s">
        <v>2609</v>
      </c>
      <c r="G355" s="1851" t="s">
        <v>22</v>
      </c>
      <c r="H355" s="1851" t="s">
        <v>22</v>
      </c>
      <c r="I355" s="1851" t="s">
        <v>1108</v>
      </c>
    </row>
    <row customHeight="1" ht="11.25">
      <c r="A356" s="1851" t="s">
        <v>2569</v>
      </c>
      <c r="B356" s="1851" t="s">
        <v>16</v>
      </c>
      <c r="C356" s="1851" t="s">
        <v>2740</v>
      </c>
      <c r="D356" s="1851" t="s">
        <v>2741</v>
      </c>
      <c r="E356" s="1851" t="s">
        <v>2742</v>
      </c>
      <c r="F356" s="1851" t="s">
        <v>2743</v>
      </c>
      <c r="G356" s="1851" t="s">
        <v>22</v>
      </c>
      <c r="H356" s="1851" t="s">
        <v>22</v>
      </c>
      <c r="I356" s="1851" t="s">
        <v>1108</v>
      </c>
    </row>
    <row customHeight="1" ht="11.25">
      <c r="A357" s="1851" t="s">
        <v>2569</v>
      </c>
      <c r="B357" s="1851" t="s">
        <v>16</v>
      </c>
      <c r="C357" s="1851" t="s">
        <v>3097</v>
      </c>
      <c r="D357" s="1851" t="s">
        <v>3098</v>
      </c>
      <c r="E357" s="1851" t="s">
        <v>3099</v>
      </c>
      <c r="F357" s="1851" t="s">
        <v>2679</v>
      </c>
      <c r="G357" s="1851" t="s">
        <v>22</v>
      </c>
      <c r="H357" s="1851" t="s">
        <v>22</v>
      </c>
      <c r="I357" s="1851" t="s">
        <v>1108</v>
      </c>
    </row>
    <row customHeight="1" ht="11.25">
      <c r="A358" s="1851" t="s">
        <v>2569</v>
      </c>
      <c r="B358" s="1851" t="s">
        <v>16</v>
      </c>
      <c r="C358" s="1851" t="s">
        <v>3100</v>
      </c>
      <c r="D358" s="1851" t="s">
        <v>3101</v>
      </c>
      <c r="E358" s="1851" t="s">
        <v>3102</v>
      </c>
      <c r="F358" s="1851" t="s">
        <v>2642</v>
      </c>
      <c r="G358" s="1851" t="s">
        <v>3103</v>
      </c>
      <c r="H358" s="1851" t="s">
        <v>22</v>
      </c>
      <c r="I358" s="1851" t="s">
        <v>1108</v>
      </c>
    </row>
    <row customHeight="1" ht="11.25">
      <c r="A359" s="1851" t="s">
        <v>2569</v>
      </c>
      <c r="B359" s="1851" t="s">
        <v>16</v>
      </c>
      <c r="C359" s="1851" t="s">
        <v>3104</v>
      </c>
      <c r="D359" s="1851" t="s">
        <v>3105</v>
      </c>
      <c r="E359" s="1851" t="s">
        <v>3106</v>
      </c>
      <c r="F359" s="1851" t="s">
        <v>2701</v>
      </c>
      <c r="G359" s="1851" t="s">
        <v>3107</v>
      </c>
      <c r="H359" s="1851" t="s">
        <v>22</v>
      </c>
      <c r="I359" s="1851" t="s">
        <v>1108</v>
      </c>
    </row>
    <row customHeight="1" ht="11.25">
      <c r="A360" s="1851" t="s">
        <v>2569</v>
      </c>
      <c r="B360" s="1851" t="s">
        <v>16</v>
      </c>
      <c r="C360" s="1851" t="s">
        <v>2744</v>
      </c>
      <c r="D360" s="1851" t="s">
        <v>2745</v>
      </c>
      <c r="E360" s="1851" t="s">
        <v>2746</v>
      </c>
      <c r="F360" s="1851" t="s">
        <v>2613</v>
      </c>
      <c r="G360" s="1851" t="s">
        <v>22</v>
      </c>
      <c r="H360" s="1851" t="s">
        <v>22</v>
      </c>
      <c r="I360" s="1851" t="s">
        <v>1108</v>
      </c>
    </row>
    <row customHeight="1" ht="11.25">
      <c r="A361" s="1851" t="s">
        <v>2569</v>
      </c>
      <c r="B361" s="1851" t="s">
        <v>16</v>
      </c>
      <c r="C361" s="1851" t="s">
        <v>3108</v>
      </c>
      <c r="D361" s="1851" t="s">
        <v>3109</v>
      </c>
      <c r="E361" s="1851" t="s">
        <v>3110</v>
      </c>
      <c r="F361" s="1851" t="s">
        <v>3077</v>
      </c>
      <c r="G361" s="1851" t="s">
        <v>22</v>
      </c>
      <c r="H361" s="1851" t="s">
        <v>22</v>
      </c>
      <c r="I361" s="1851" t="s">
        <v>1108</v>
      </c>
    </row>
    <row customHeight="1" ht="11.25">
      <c r="A362" s="1851" t="s">
        <v>2569</v>
      </c>
      <c r="B362" s="1851" t="s">
        <v>16</v>
      </c>
      <c r="C362" s="1851" t="s">
        <v>2747</v>
      </c>
      <c r="D362" s="1851" t="s">
        <v>2748</v>
      </c>
      <c r="E362" s="1851" t="s">
        <v>2749</v>
      </c>
      <c r="F362" s="1851" t="s">
        <v>2733</v>
      </c>
      <c r="G362" s="1851" t="s">
        <v>22</v>
      </c>
      <c r="H362" s="1851" t="s">
        <v>22</v>
      </c>
      <c r="I362" s="1851" t="s">
        <v>1108</v>
      </c>
    </row>
    <row customHeight="1" ht="11.25">
      <c r="A363" s="1851" t="s">
        <v>2569</v>
      </c>
      <c r="B363" s="1851" t="s">
        <v>16</v>
      </c>
      <c r="C363" s="1851" t="s">
        <v>3111</v>
      </c>
      <c r="D363" s="1851" t="s">
        <v>3112</v>
      </c>
      <c r="E363" s="1851" t="s">
        <v>3113</v>
      </c>
      <c r="F363" s="1851" t="s">
        <v>2642</v>
      </c>
      <c r="G363" s="1851" t="s">
        <v>22</v>
      </c>
      <c r="H363" s="1851" t="s">
        <v>22</v>
      </c>
      <c r="I363" s="1851" t="s">
        <v>1108</v>
      </c>
    </row>
    <row customHeight="1" ht="11.25">
      <c r="A364" s="1851" t="s">
        <v>2569</v>
      </c>
      <c r="B364" s="1851" t="s">
        <v>16</v>
      </c>
      <c r="C364" s="1851" t="s">
        <v>3114</v>
      </c>
      <c r="D364" s="1851" t="s">
        <v>3115</v>
      </c>
      <c r="E364" s="1851" t="s">
        <v>3116</v>
      </c>
      <c r="F364" s="1851" t="s">
        <v>2990</v>
      </c>
      <c r="G364" s="1851" t="s">
        <v>22</v>
      </c>
      <c r="H364" s="1851" t="s">
        <v>22</v>
      </c>
      <c r="I364" s="1851" t="s">
        <v>1108</v>
      </c>
    </row>
    <row customHeight="1" ht="11.25">
      <c r="A365" s="1851" t="s">
        <v>2569</v>
      </c>
      <c r="B365" s="1851" t="s">
        <v>16</v>
      </c>
      <c r="C365" s="1851" t="s">
        <v>3117</v>
      </c>
      <c r="D365" s="1851" t="s">
        <v>3118</v>
      </c>
      <c r="E365" s="1851" t="s">
        <v>3119</v>
      </c>
      <c r="F365" s="1851" t="s">
        <v>2576</v>
      </c>
      <c r="G365" s="1851" t="s">
        <v>22</v>
      </c>
      <c r="H365" s="1851" t="s">
        <v>22</v>
      </c>
      <c r="I365" s="1851" t="s">
        <v>1108</v>
      </c>
    </row>
    <row customHeight="1" ht="11.25">
      <c r="A366" s="1851" t="s">
        <v>2569</v>
      </c>
      <c r="B366" s="1851" t="s">
        <v>16</v>
      </c>
      <c r="C366" s="1851" t="s">
        <v>2750</v>
      </c>
      <c r="D366" s="1851" t="s">
        <v>2751</v>
      </c>
      <c r="E366" s="1851" t="s">
        <v>2752</v>
      </c>
      <c r="F366" s="1851" t="s">
        <v>2753</v>
      </c>
      <c r="G366" s="1851" t="s">
        <v>22</v>
      </c>
      <c r="H366" s="1851" t="s">
        <v>22</v>
      </c>
      <c r="I366" s="1851" t="s">
        <v>1108</v>
      </c>
    </row>
    <row customHeight="1" ht="11.25">
      <c r="A367" s="1851" t="s">
        <v>2569</v>
      </c>
      <c r="B367" s="1851" t="s">
        <v>16</v>
      </c>
      <c r="C367" s="1851" t="s">
        <v>3120</v>
      </c>
      <c r="D367" s="1851" t="s">
        <v>3121</v>
      </c>
      <c r="E367" s="1851" t="s">
        <v>3122</v>
      </c>
      <c r="F367" s="1851" t="s">
        <v>2990</v>
      </c>
      <c r="G367" s="1851" t="s">
        <v>22</v>
      </c>
      <c r="H367" s="1851" t="s">
        <v>22</v>
      </c>
      <c r="I367" s="1851" t="s">
        <v>1108</v>
      </c>
    </row>
    <row customHeight="1" ht="11.25">
      <c r="A368" s="1851" t="s">
        <v>2569</v>
      </c>
      <c r="B368" s="1851" t="s">
        <v>16</v>
      </c>
      <c r="C368" s="1851" t="s">
        <v>2754</v>
      </c>
      <c r="D368" s="1851" t="s">
        <v>2755</v>
      </c>
      <c r="E368" s="1851" t="s">
        <v>2756</v>
      </c>
      <c r="F368" s="1851" t="s">
        <v>50</v>
      </c>
      <c r="G368" s="1851" t="s">
        <v>22</v>
      </c>
      <c r="H368" s="1851" t="s">
        <v>22</v>
      </c>
      <c r="I368" s="1851" t="s">
        <v>1108</v>
      </c>
    </row>
    <row customHeight="1" ht="11.25">
      <c r="A369" s="1851" t="s">
        <v>2569</v>
      </c>
      <c r="B369" s="1851" t="s">
        <v>16</v>
      </c>
      <c r="C369" s="1851" t="s">
        <v>2764</v>
      </c>
      <c r="D369" s="1851" t="s">
        <v>2765</v>
      </c>
      <c r="E369" s="1851" t="s">
        <v>2766</v>
      </c>
      <c r="F369" s="1851" t="s">
        <v>2767</v>
      </c>
      <c r="G369" s="1851" t="s">
        <v>22</v>
      </c>
      <c r="H369" s="1851" t="s">
        <v>22</v>
      </c>
      <c r="I369" s="1851" t="s">
        <v>1108</v>
      </c>
    </row>
    <row customHeight="1" ht="11.25">
      <c r="A370" s="1851" t="s">
        <v>2569</v>
      </c>
      <c r="B370" s="1851" t="s">
        <v>16</v>
      </c>
      <c r="C370" s="1851" t="s">
        <v>3327</v>
      </c>
      <c r="D370" s="1851" t="s">
        <v>3328</v>
      </c>
      <c r="E370" s="1851" t="s">
        <v>3329</v>
      </c>
      <c r="F370" s="1851" t="s">
        <v>2634</v>
      </c>
      <c r="G370" s="1851" t="s">
        <v>22</v>
      </c>
      <c r="H370" s="1851" t="s">
        <v>22</v>
      </c>
      <c r="I370" s="1851" t="s">
        <v>1108</v>
      </c>
    </row>
    <row customHeight="1" ht="11.25">
      <c r="A371" s="1851" t="s">
        <v>2569</v>
      </c>
      <c r="B371" s="1851" t="s">
        <v>16</v>
      </c>
      <c r="C371" s="1851" t="s">
        <v>2781</v>
      </c>
      <c r="D371" s="1851" t="s">
        <v>2782</v>
      </c>
      <c r="E371" s="1851" t="s">
        <v>2783</v>
      </c>
      <c r="F371" s="1851" t="s">
        <v>2609</v>
      </c>
      <c r="G371" s="1851" t="s">
        <v>22</v>
      </c>
      <c r="H371" s="1851" t="s">
        <v>22</v>
      </c>
      <c r="I371" s="1851" t="s">
        <v>1108</v>
      </c>
    </row>
    <row customHeight="1" ht="11.25">
      <c r="A372" s="1851" t="s">
        <v>2569</v>
      </c>
      <c r="B372" s="1851" t="s">
        <v>16</v>
      </c>
      <c r="C372" s="1851" t="s">
        <v>3129</v>
      </c>
      <c r="D372" s="1851" t="s">
        <v>3130</v>
      </c>
      <c r="E372" s="1851" t="s">
        <v>3131</v>
      </c>
      <c r="F372" s="1851" t="s">
        <v>2613</v>
      </c>
      <c r="G372" s="1851" t="s">
        <v>3132</v>
      </c>
      <c r="H372" s="1851" t="s">
        <v>22</v>
      </c>
      <c r="I372" s="1851" t="s">
        <v>1108</v>
      </c>
    </row>
    <row customHeight="1" ht="11.25">
      <c r="A373" s="1851" t="s">
        <v>2569</v>
      </c>
      <c r="B373" s="1851" t="s">
        <v>16</v>
      </c>
      <c r="C373" s="1851" t="s">
        <v>3133</v>
      </c>
      <c r="D373" s="1851" t="s">
        <v>3134</v>
      </c>
      <c r="E373" s="1851" t="s">
        <v>3135</v>
      </c>
      <c r="F373" s="1851" t="s">
        <v>2625</v>
      </c>
      <c r="G373" s="1851" t="s">
        <v>3136</v>
      </c>
      <c r="H373" s="1851" t="s">
        <v>22</v>
      </c>
      <c r="I373" s="1851" t="s">
        <v>1108</v>
      </c>
    </row>
    <row customHeight="1" ht="11.25">
      <c r="A374" s="1851" t="s">
        <v>2569</v>
      </c>
      <c r="B374" s="1851" t="s">
        <v>16</v>
      </c>
      <c r="C374" s="1851" t="s">
        <v>3137</v>
      </c>
      <c r="D374" s="1851" t="s">
        <v>3138</v>
      </c>
      <c r="E374" s="1851" t="s">
        <v>3139</v>
      </c>
      <c r="F374" s="1851" t="s">
        <v>2887</v>
      </c>
      <c r="G374" s="1851" t="s">
        <v>3140</v>
      </c>
      <c r="H374" s="1851" t="s">
        <v>22</v>
      </c>
      <c r="I374" s="1851" t="s">
        <v>1108</v>
      </c>
    </row>
    <row customHeight="1" ht="11.25">
      <c r="A375" s="1851" t="s">
        <v>2569</v>
      </c>
      <c r="B375" s="1851" t="s">
        <v>16</v>
      </c>
      <c r="C375" s="1851" t="s">
        <v>3141</v>
      </c>
      <c r="D375" s="1851" t="s">
        <v>3142</v>
      </c>
      <c r="E375" s="1851" t="s">
        <v>3143</v>
      </c>
      <c r="F375" s="1851" t="s">
        <v>3144</v>
      </c>
      <c r="G375" s="1851" t="s">
        <v>22</v>
      </c>
      <c r="H375" s="1851" t="s">
        <v>22</v>
      </c>
      <c r="I375" s="1851" t="s">
        <v>1108</v>
      </c>
    </row>
    <row customHeight="1" ht="11.25">
      <c r="A376" s="1851" t="s">
        <v>2569</v>
      </c>
      <c r="B376" s="1851" t="s">
        <v>16</v>
      </c>
      <c r="C376" s="1851" t="s">
        <v>3149</v>
      </c>
      <c r="D376" s="1851" t="s">
        <v>3150</v>
      </c>
      <c r="E376" s="1851" t="s">
        <v>3151</v>
      </c>
      <c r="F376" s="1851" t="s">
        <v>2601</v>
      </c>
      <c r="G376" s="1851" t="s">
        <v>22</v>
      </c>
      <c r="H376" s="1851" t="s">
        <v>22</v>
      </c>
      <c r="I376" s="1851" t="s">
        <v>1108</v>
      </c>
    </row>
    <row customHeight="1" ht="11.25">
      <c r="A377" s="1851" t="s">
        <v>2569</v>
      </c>
      <c r="B377" s="1851" t="s">
        <v>16</v>
      </c>
      <c r="C377" s="1851" t="s">
        <v>3152</v>
      </c>
      <c r="D377" s="1851" t="s">
        <v>3153</v>
      </c>
      <c r="E377" s="1851" t="s">
        <v>3154</v>
      </c>
      <c r="F377" s="1851" t="s">
        <v>3155</v>
      </c>
      <c r="G377" s="1851" t="s">
        <v>22</v>
      </c>
      <c r="H377" s="1851" t="s">
        <v>22</v>
      </c>
      <c r="I377" s="1851" t="s">
        <v>1108</v>
      </c>
    </row>
    <row customHeight="1" ht="11.25">
      <c r="A378" s="1851" t="s">
        <v>2569</v>
      </c>
      <c r="B378" s="1851" t="s">
        <v>16</v>
      </c>
      <c r="C378" s="1851" t="s">
        <v>3156</v>
      </c>
      <c r="D378" s="1851" t="s">
        <v>3157</v>
      </c>
      <c r="E378" s="1851" t="s">
        <v>3158</v>
      </c>
      <c r="F378" s="1851" t="s">
        <v>2964</v>
      </c>
      <c r="G378" s="1851" t="s">
        <v>22</v>
      </c>
      <c r="H378" s="1851" t="s">
        <v>22</v>
      </c>
      <c r="I378" s="1851" t="s">
        <v>1108</v>
      </c>
    </row>
    <row customHeight="1" ht="11.25">
      <c r="A379" s="1851" t="s">
        <v>2569</v>
      </c>
      <c r="B379" s="1851" t="s">
        <v>16</v>
      </c>
      <c r="C379" s="1851" t="s">
        <v>3330</v>
      </c>
      <c r="D379" s="1851" t="s">
        <v>3331</v>
      </c>
      <c r="E379" s="1851" t="s">
        <v>3332</v>
      </c>
      <c r="F379" s="1851" t="s">
        <v>2580</v>
      </c>
      <c r="G379" s="1851" t="s">
        <v>3148</v>
      </c>
      <c r="H379" s="1851" t="s">
        <v>22</v>
      </c>
      <c r="I379" s="1851" t="s">
        <v>1108</v>
      </c>
    </row>
    <row customHeight="1" ht="11.25">
      <c r="A380" s="1851" t="s">
        <v>2569</v>
      </c>
      <c r="B380" s="1851" t="s">
        <v>16</v>
      </c>
      <c r="C380" s="1851" t="s">
        <v>3333</v>
      </c>
      <c r="D380" s="1851" t="s">
        <v>3331</v>
      </c>
      <c r="E380" s="1851" t="s">
        <v>3334</v>
      </c>
      <c r="F380" s="1851" t="s">
        <v>2990</v>
      </c>
      <c r="G380" s="1851" t="s">
        <v>3162</v>
      </c>
      <c r="H380" s="1851" t="s">
        <v>22</v>
      </c>
      <c r="I380" s="1851" t="s">
        <v>1108</v>
      </c>
    </row>
    <row customHeight="1" ht="11.25">
      <c r="A381" s="1851" t="s">
        <v>2569</v>
      </c>
      <c r="B381" s="1851" t="s">
        <v>16</v>
      </c>
      <c r="C381" s="1851" t="s">
        <v>2796</v>
      </c>
      <c r="D381" s="1851" t="s">
        <v>2797</v>
      </c>
      <c r="E381" s="1851" t="s">
        <v>2798</v>
      </c>
      <c r="F381" s="1851" t="s">
        <v>2799</v>
      </c>
      <c r="G381" s="1851" t="s">
        <v>2800</v>
      </c>
      <c r="H381" s="1851" t="s">
        <v>22</v>
      </c>
      <c r="I381" s="1851" t="s">
        <v>1108</v>
      </c>
    </row>
    <row customHeight="1" ht="11.25">
      <c r="A382" s="1851" t="s">
        <v>2569</v>
      </c>
      <c r="B382" s="1851" t="s">
        <v>16</v>
      </c>
      <c r="C382" s="1851" t="s">
        <v>3163</v>
      </c>
      <c r="D382" s="1851" t="s">
        <v>3164</v>
      </c>
      <c r="E382" s="1851" t="s">
        <v>3165</v>
      </c>
      <c r="F382" s="1851" t="s">
        <v>2613</v>
      </c>
      <c r="G382" s="1851" t="s">
        <v>22</v>
      </c>
      <c r="H382" s="1851" t="s">
        <v>22</v>
      </c>
      <c r="I382" s="1851" t="s">
        <v>1108</v>
      </c>
    </row>
    <row customHeight="1" ht="11.25">
      <c r="A383" s="1851" t="s">
        <v>2569</v>
      </c>
      <c r="B383" s="1851" t="s">
        <v>16</v>
      </c>
      <c r="C383" s="1851" t="s">
        <v>3335</v>
      </c>
      <c r="D383" s="1851" t="s">
        <v>3336</v>
      </c>
      <c r="E383" s="1851" t="s">
        <v>3337</v>
      </c>
      <c r="F383" s="1851" t="s">
        <v>2576</v>
      </c>
      <c r="G383" s="1851" t="s">
        <v>22</v>
      </c>
      <c r="H383" s="1851" t="s">
        <v>22</v>
      </c>
      <c r="I383" s="1851" t="s">
        <v>1108</v>
      </c>
    </row>
    <row customHeight="1" ht="11.25">
      <c r="A384" s="1851" t="s">
        <v>2569</v>
      </c>
      <c r="B384" s="1851" t="s">
        <v>16</v>
      </c>
      <c r="C384" s="1851" t="s">
        <v>3169</v>
      </c>
      <c r="D384" s="1851" t="s">
        <v>3170</v>
      </c>
      <c r="E384" s="1851" t="s">
        <v>3171</v>
      </c>
      <c r="F384" s="1851" t="s">
        <v>2572</v>
      </c>
      <c r="G384" s="1851" t="s">
        <v>22</v>
      </c>
      <c r="H384" s="1851" t="s">
        <v>22</v>
      </c>
      <c r="I384" s="1851" t="s">
        <v>1108</v>
      </c>
    </row>
    <row customHeight="1" ht="11.25">
      <c r="A385" s="1851" t="s">
        <v>2569</v>
      </c>
      <c r="B385" s="1851" t="s">
        <v>16</v>
      </c>
      <c r="C385" s="1851" t="s">
        <v>3172</v>
      </c>
      <c r="D385" s="1851" t="s">
        <v>3173</v>
      </c>
      <c r="E385" s="1851" t="s">
        <v>3174</v>
      </c>
      <c r="F385" s="1851" t="s">
        <v>2576</v>
      </c>
      <c r="G385" s="1851" t="s">
        <v>22</v>
      </c>
      <c r="H385" s="1851" t="s">
        <v>22</v>
      </c>
      <c r="I385" s="1851" t="s">
        <v>1108</v>
      </c>
    </row>
    <row customHeight="1" ht="11.25">
      <c r="A386" s="1851" t="s">
        <v>2569</v>
      </c>
      <c r="B386" s="1851" t="s">
        <v>16</v>
      </c>
      <c r="C386" s="1851" t="s">
        <v>2813</v>
      </c>
      <c r="D386" s="1851" t="s">
        <v>2814</v>
      </c>
      <c r="E386" s="1851" t="s">
        <v>2815</v>
      </c>
      <c r="F386" s="1851" t="s">
        <v>2799</v>
      </c>
      <c r="G386" s="1851" t="s">
        <v>22</v>
      </c>
      <c r="H386" s="1851" t="s">
        <v>22</v>
      </c>
      <c r="I386" s="1851" t="s">
        <v>1108</v>
      </c>
    </row>
    <row customHeight="1" ht="11.25">
      <c r="A387" s="1851" t="s">
        <v>2569</v>
      </c>
      <c r="B387" s="1851" t="s">
        <v>16</v>
      </c>
      <c r="C387" s="1851" t="s">
        <v>2819</v>
      </c>
      <c r="D387" s="1851" t="s">
        <v>2820</v>
      </c>
      <c r="E387" s="1851" t="s">
        <v>2821</v>
      </c>
      <c r="F387" s="1851" t="s">
        <v>2799</v>
      </c>
      <c r="G387" s="1851" t="s">
        <v>22</v>
      </c>
      <c r="H387" s="1851" t="s">
        <v>22</v>
      </c>
      <c r="I387" s="1851" t="s">
        <v>1108</v>
      </c>
    </row>
    <row customHeight="1" ht="11.25">
      <c r="A388" s="1851" t="s">
        <v>2569</v>
      </c>
      <c r="B388" s="1851" t="s">
        <v>16</v>
      </c>
      <c r="C388" s="1851" t="s">
        <v>3175</v>
      </c>
      <c r="D388" s="1851" t="s">
        <v>3176</v>
      </c>
      <c r="E388" s="1851" t="s">
        <v>3177</v>
      </c>
      <c r="F388" s="1851" t="s">
        <v>2799</v>
      </c>
      <c r="G388" s="1851" t="s">
        <v>22</v>
      </c>
      <c r="H388" s="1851" t="s">
        <v>22</v>
      </c>
      <c r="I388" s="1851" t="s">
        <v>1108</v>
      </c>
    </row>
    <row customHeight="1" ht="11.25">
      <c r="A389" s="1851" t="s">
        <v>2569</v>
      </c>
      <c r="B389" s="1851" t="s">
        <v>16</v>
      </c>
      <c r="C389" s="1851" t="s">
        <v>3178</v>
      </c>
      <c r="D389" s="1851" t="s">
        <v>3179</v>
      </c>
      <c r="E389" s="1851" t="s">
        <v>3180</v>
      </c>
      <c r="F389" s="1851" t="s">
        <v>2753</v>
      </c>
      <c r="G389" s="1851" t="s">
        <v>3181</v>
      </c>
      <c r="H389" s="1851" t="s">
        <v>22</v>
      </c>
      <c r="I389" s="1851" t="s">
        <v>1108</v>
      </c>
    </row>
    <row customHeight="1" ht="11.25">
      <c r="A390" s="1851" t="s">
        <v>2569</v>
      </c>
      <c r="B390" s="1851" t="s">
        <v>16</v>
      </c>
      <c r="C390" s="1851" t="s">
        <v>3182</v>
      </c>
      <c r="D390" s="1851" t="s">
        <v>3183</v>
      </c>
      <c r="E390" s="1851" t="s">
        <v>3184</v>
      </c>
      <c r="F390" s="1851" t="s">
        <v>2576</v>
      </c>
      <c r="G390" s="1851" t="s">
        <v>3185</v>
      </c>
      <c r="H390" s="1851" t="s">
        <v>22</v>
      </c>
      <c r="I390" s="1851" t="s">
        <v>1108</v>
      </c>
    </row>
    <row customHeight="1" ht="11.25">
      <c r="A391" s="1851" t="s">
        <v>2569</v>
      </c>
      <c r="B391" s="1851" t="s">
        <v>16</v>
      </c>
      <c r="C391" s="1851" t="s">
        <v>3186</v>
      </c>
      <c r="D391" s="1851" t="s">
        <v>3187</v>
      </c>
      <c r="E391" s="1851" t="s">
        <v>3188</v>
      </c>
      <c r="F391" s="1851" t="s">
        <v>2709</v>
      </c>
      <c r="G391" s="1851" t="s">
        <v>22</v>
      </c>
      <c r="H391" s="1851" t="s">
        <v>22</v>
      </c>
      <c r="I391" s="1851" t="s">
        <v>1108</v>
      </c>
    </row>
    <row customHeight="1" ht="11.25">
      <c r="A392" s="1851" t="s">
        <v>2569</v>
      </c>
      <c r="B392" s="1851" t="s">
        <v>16</v>
      </c>
      <c r="C392" s="1851" t="s">
        <v>3189</v>
      </c>
      <c r="D392" s="1851" t="s">
        <v>3190</v>
      </c>
      <c r="E392" s="1851" t="s">
        <v>3191</v>
      </c>
      <c r="F392" s="1851" t="s">
        <v>2990</v>
      </c>
      <c r="G392" s="1851" t="s">
        <v>3192</v>
      </c>
      <c r="H392" s="1851" t="s">
        <v>22</v>
      </c>
      <c r="I392" s="1851" t="s">
        <v>1108</v>
      </c>
    </row>
    <row customHeight="1" ht="11.25">
      <c r="A393" s="1851" t="s">
        <v>2569</v>
      </c>
      <c r="B393" s="1851" t="s">
        <v>16</v>
      </c>
      <c r="C393" s="1851" t="s">
        <v>3193</v>
      </c>
      <c r="D393" s="1851" t="s">
        <v>3194</v>
      </c>
      <c r="E393" s="1851" t="s">
        <v>3195</v>
      </c>
      <c r="F393" s="1851" t="s">
        <v>2634</v>
      </c>
      <c r="G393" s="1851" t="s">
        <v>3196</v>
      </c>
      <c r="H393" s="1851" t="s">
        <v>22</v>
      </c>
      <c r="I393" s="1851" t="s">
        <v>1108</v>
      </c>
    </row>
    <row customHeight="1" ht="11.25">
      <c r="A394" s="1851" t="s">
        <v>2569</v>
      </c>
      <c r="B394" s="1851" t="s">
        <v>16</v>
      </c>
      <c r="C394" s="1851" t="s">
        <v>3338</v>
      </c>
      <c r="D394" s="1851" t="s">
        <v>3339</v>
      </c>
      <c r="E394" s="1851" t="s">
        <v>3340</v>
      </c>
      <c r="F394" s="1851" t="s">
        <v>2572</v>
      </c>
      <c r="G394" s="1851" t="s">
        <v>22</v>
      </c>
      <c r="H394" s="1851" t="s">
        <v>3341</v>
      </c>
      <c r="I394" s="1851" t="s">
        <v>1108</v>
      </c>
    </row>
    <row customHeight="1" ht="11.25">
      <c r="A395" s="1851" t="s">
        <v>2569</v>
      </c>
      <c r="B395" s="1851" t="s">
        <v>16</v>
      </c>
      <c r="C395" s="1851" t="s">
        <v>2831</v>
      </c>
      <c r="D395" s="1851" t="s">
        <v>2832</v>
      </c>
      <c r="E395" s="1851" t="s">
        <v>2833</v>
      </c>
      <c r="F395" s="1851" t="s">
        <v>2799</v>
      </c>
      <c r="G395" s="1851" t="s">
        <v>22</v>
      </c>
      <c r="H395" s="1851" t="s">
        <v>22</v>
      </c>
      <c r="I395" s="1851" t="s">
        <v>1108</v>
      </c>
    </row>
    <row customHeight="1" ht="11.25">
      <c r="A396" s="1851" t="s">
        <v>2569</v>
      </c>
      <c r="B396" s="1851" t="s">
        <v>16</v>
      </c>
      <c r="C396" s="1851" t="s">
        <v>3201</v>
      </c>
      <c r="D396" s="1851" t="s">
        <v>3202</v>
      </c>
      <c r="E396" s="1851" t="s">
        <v>3203</v>
      </c>
      <c r="F396" s="1851" t="s">
        <v>2753</v>
      </c>
      <c r="G396" s="1851" t="s">
        <v>22</v>
      </c>
      <c r="H396" s="1851" t="s">
        <v>22</v>
      </c>
      <c r="I396" s="1851" t="s">
        <v>1108</v>
      </c>
    </row>
    <row customHeight="1" ht="11.25">
      <c r="A397" s="1851" t="s">
        <v>2569</v>
      </c>
      <c r="B397" s="1851" t="s">
        <v>16</v>
      </c>
      <c r="C397" s="1851" t="s">
        <v>2844</v>
      </c>
      <c r="D397" s="1851" t="s">
        <v>2845</v>
      </c>
      <c r="E397" s="1851" t="s">
        <v>2846</v>
      </c>
      <c r="F397" s="1851" t="s">
        <v>2613</v>
      </c>
      <c r="G397" s="1851" t="s">
        <v>22</v>
      </c>
      <c r="H397" s="1851" t="s">
        <v>22</v>
      </c>
      <c r="I397" s="1851" t="s">
        <v>1108</v>
      </c>
    </row>
    <row customHeight="1" ht="11.25">
      <c r="A398" s="1851" t="s">
        <v>2569</v>
      </c>
      <c r="B398" s="1851" t="s">
        <v>16</v>
      </c>
      <c r="C398" s="1851" t="s">
        <v>2862</v>
      </c>
      <c r="D398" s="1851" t="s">
        <v>2863</v>
      </c>
      <c r="E398" s="1851" t="s">
        <v>2864</v>
      </c>
      <c r="F398" s="1851" t="s">
        <v>2774</v>
      </c>
      <c r="G398" s="1851" t="s">
        <v>2865</v>
      </c>
      <c r="H398" s="1851" t="s">
        <v>22</v>
      </c>
      <c r="I398" s="1851" t="s">
        <v>1108</v>
      </c>
    </row>
    <row customHeight="1" ht="11.25">
      <c r="A399" s="1851" t="s">
        <v>2569</v>
      </c>
      <c r="B399" s="1851" t="s">
        <v>16</v>
      </c>
      <c r="C399" s="1851" t="s">
        <v>3204</v>
      </c>
      <c r="D399" s="1851" t="s">
        <v>3205</v>
      </c>
      <c r="E399" s="1851" t="s">
        <v>3206</v>
      </c>
      <c r="F399" s="1851" t="s">
        <v>2760</v>
      </c>
      <c r="G399" s="1851" t="s">
        <v>22</v>
      </c>
      <c r="H399" s="1851" t="s">
        <v>22</v>
      </c>
      <c r="I399" s="1851" t="s">
        <v>1108</v>
      </c>
    </row>
    <row customHeight="1" ht="11.25">
      <c r="A400" s="1851" t="s">
        <v>2569</v>
      </c>
      <c r="B400" s="1851" t="s">
        <v>16</v>
      </c>
      <c r="C400" s="1851" t="s">
        <v>3207</v>
      </c>
      <c r="D400" s="1851" t="s">
        <v>3208</v>
      </c>
      <c r="E400" s="1851" t="s">
        <v>3209</v>
      </c>
      <c r="F400" s="1851" t="s">
        <v>2709</v>
      </c>
      <c r="G400" s="1851" t="s">
        <v>22</v>
      </c>
      <c r="H400" s="1851" t="s">
        <v>22</v>
      </c>
      <c r="I400" s="1851" t="s">
        <v>1108</v>
      </c>
    </row>
    <row customHeight="1" ht="11.25">
      <c r="A401" s="1851" t="s">
        <v>2569</v>
      </c>
      <c r="B401" s="1851" t="s">
        <v>16</v>
      </c>
      <c r="C401" s="1851" t="s">
        <v>3210</v>
      </c>
      <c r="D401" s="1851" t="s">
        <v>3211</v>
      </c>
      <c r="E401" s="1851" t="s">
        <v>3212</v>
      </c>
      <c r="F401" s="1851" t="s">
        <v>3213</v>
      </c>
      <c r="G401" s="1851" t="s">
        <v>22</v>
      </c>
      <c r="H401" s="1851" t="s">
        <v>22</v>
      </c>
      <c r="I401" s="1851" t="s">
        <v>1108</v>
      </c>
    </row>
    <row customHeight="1" ht="11.25">
      <c r="A402" s="1851" t="s">
        <v>2569</v>
      </c>
      <c r="B402" s="1851" t="s">
        <v>16</v>
      </c>
      <c r="C402" s="1851" t="s">
        <v>3214</v>
      </c>
      <c r="D402" s="1851" t="s">
        <v>3215</v>
      </c>
      <c r="E402" s="1851" t="s">
        <v>3216</v>
      </c>
      <c r="F402" s="1851" t="s">
        <v>2774</v>
      </c>
      <c r="G402" s="1851" t="s">
        <v>22</v>
      </c>
      <c r="H402" s="1851" t="s">
        <v>22</v>
      </c>
      <c r="I402" s="1851" t="s">
        <v>1108</v>
      </c>
    </row>
    <row customHeight="1" ht="11.25">
      <c r="A403" s="1851" t="s">
        <v>2569</v>
      </c>
      <c r="B403" s="1851" t="s">
        <v>16</v>
      </c>
      <c r="C403" s="1851" t="s">
        <v>3217</v>
      </c>
      <c r="D403" s="1851" t="s">
        <v>3218</v>
      </c>
      <c r="E403" s="1851" t="s">
        <v>3219</v>
      </c>
      <c r="F403" s="1851" t="s">
        <v>2601</v>
      </c>
      <c r="G403" s="1851" t="s">
        <v>22</v>
      </c>
      <c r="H403" s="1851" t="s">
        <v>22</v>
      </c>
      <c r="I403" s="1851" t="s">
        <v>1108</v>
      </c>
    </row>
    <row customHeight="1" ht="11.25">
      <c r="A404" s="1851" t="s">
        <v>2569</v>
      </c>
      <c r="B404" s="1851" t="s">
        <v>16</v>
      </c>
      <c r="C404" s="1851" t="s">
        <v>2881</v>
      </c>
      <c r="D404" s="1851" t="s">
        <v>2882</v>
      </c>
      <c r="E404" s="1851" t="s">
        <v>2883</v>
      </c>
      <c r="F404" s="1851" t="s">
        <v>2753</v>
      </c>
      <c r="G404" s="1851" t="s">
        <v>2635</v>
      </c>
      <c r="H404" s="1851" t="s">
        <v>22</v>
      </c>
      <c r="I404" s="1851" t="s">
        <v>1108</v>
      </c>
    </row>
    <row customHeight="1" ht="11.25">
      <c r="A405" s="1851" t="s">
        <v>2569</v>
      </c>
      <c r="B405" s="1851" t="s">
        <v>16</v>
      </c>
      <c r="C405" s="1851" t="s">
        <v>3342</v>
      </c>
      <c r="D405" s="1851" t="s">
        <v>3343</v>
      </c>
      <c r="E405" s="1851" t="s">
        <v>3344</v>
      </c>
      <c r="F405" s="1851" t="s">
        <v>2887</v>
      </c>
      <c r="G405" s="1851" t="s">
        <v>3345</v>
      </c>
      <c r="H405" s="1851" t="s">
        <v>22</v>
      </c>
      <c r="I405" s="1851" t="s">
        <v>1108</v>
      </c>
    </row>
    <row customHeight="1" ht="11.25">
      <c r="A406" s="1851" t="s">
        <v>2569</v>
      </c>
      <c r="B406" s="1851" t="s">
        <v>16</v>
      </c>
      <c r="C406" s="1851" t="s">
        <v>3220</v>
      </c>
      <c r="D406" s="1851" t="s">
        <v>3221</v>
      </c>
      <c r="E406" s="1851" t="s">
        <v>3222</v>
      </c>
      <c r="F406" s="1851" t="s">
        <v>2753</v>
      </c>
      <c r="G406" s="1851" t="s">
        <v>22</v>
      </c>
      <c r="H406" s="1851" t="s">
        <v>22</v>
      </c>
      <c r="I406" s="1851" t="s">
        <v>1108</v>
      </c>
    </row>
    <row customHeight="1" ht="11.25">
      <c r="A407" s="1851" t="s">
        <v>2569</v>
      </c>
      <c r="B407" s="1851" t="s">
        <v>16</v>
      </c>
      <c r="C407" s="1851" t="s">
        <v>2905</v>
      </c>
      <c r="D407" s="1851" t="s">
        <v>2906</v>
      </c>
      <c r="E407" s="1851" t="s">
        <v>2907</v>
      </c>
      <c r="F407" s="1851" t="s">
        <v>2908</v>
      </c>
      <c r="G407" s="1851" t="s">
        <v>22</v>
      </c>
      <c r="H407" s="1851" t="s">
        <v>22</v>
      </c>
      <c r="I407" s="1851" t="s">
        <v>1108</v>
      </c>
    </row>
    <row customHeight="1" ht="11.25">
      <c r="A408" s="1851" t="s">
        <v>2569</v>
      </c>
      <c r="B408" s="1851" t="s">
        <v>16</v>
      </c>
      <c r="C408" s="1851" t="s">
        <v>3226</v>
      </c>
      <c r="D408" s="1851" t="s">
        <v>3227</v>
      </c>
      <c r="E408" s="1851" t="s">
        <v>3228</v>
      </c>
      <c r="F408" s="1851" t="s">
        <v>2601</v>
      </c>
      <c r="G408" s="1851" t="s">
        <v>22</v>
      </c>
      <c r="H408" s="1851" t="s">
        <v>22</v>
      </c>
      <c r="I408" s="1851" t="s">
        <v>1108</v>
      </c>
    </row>
    <row customHeight="1" ht="11.25">
      <c r="A409" s="1851" t="s">
        <v>2569</v>
      </c>
      <c r="B409" s="1851" t="s">
        <v>16</v>
      </c>
      <c r="C409" s="1851" t="s">
        <v>3229</v>
      </c>
      <c r="D409" s="1851" t="s">
        <v>3230</v>
      </c>
      <c r="E409" s="1851" t="s">
        <v>3231</v>
      </c>
      <c r="F409" s="1851" t="s">
        <v>2799</v>
      </c>
      <c r="G409" s="1851" t="s">
        <v>22</v>
      </c>
      <c r="H409" s="1851" t="s">
        <v>22</v>
      </c>
      <c r="I409" s="1851" t="s">
        <v>1108</v>
      </c>
    </row>
    <row customHeight="1" ht="11.25">
      <c r="A410" s="1851" t="s">
        <v>2569</v>
      </c>
      <c r="B410" s="1851" t="s">
        <v>16</v>
      </c>
      <c r="C410" s="1851" t="s">
        <v>3238</v>
      </c>
      <c r="D410" s="1851" t="s">
        <v>3239</v>
      </c>
      <c r="E410" s="1851" t="s">
        <v>3240</v>
      </c>
      <c r="F410" s="1851" t="s">
        <v>2679</v>
      </c>
      <c r="G410" s="1851" t="s">
        <v>22</v>
      </c>
      <c r="H410" s="1851" t="s">
        <v>22</v>
      </c>
      <c r="I410" s="1851" t="s">
        <v>1108</v>
      </c>
    </row>
    <row customHeight="1" ht="11.25">
      <c r="A411" s="1851" t="s">
        <v>2569</v>
      </c>
      <c r="B411" s="1851" t="s">
        <v>16</v>
      </c>
      <c r="C411" s="1851" t="s">
        <v>3241</v>
      </c>
      <c r="D411" s="1851" t="s">
        <v>3242</v>
      </c>
      <c r="E411" s="1851" t="s">
        <v>3243</v>
      </c>
      <c r="F411" s="1851" t="s">
        <v>2572</v>
      </c>
      <c r="G411" s="1851" t="s">
        <v>22</v>
      </c>
      <c r="H411" s="1851" t="s">
        <v>22</v>
      </c>
      <c r="I411" s="1851" t="s">
        <v>1108</v>
      </c>
    </row>
    <row customHeight="1" ht="11.25">
      <c r="A412" s="1851" t="s">
        <v>2569</v>
      </c>
      <c r="B412" s="1851" t="s">
        <v>16</v>
      </c>
      <c r="C412" s="1851" t="s">
        <v>3247</v>
      </c>
      <c r="D412" s="1851" t="s">
        <v>3248</v>
      </c>
      <c r="E412" s="1851" t="s">
        <v>3249</v>
      </c>
      <c r="F412" s="1851" t="s">
        <v>2625</v>
      </c>
      <c r="G412" s="1851" t="s">
        <v>3250</v>
      </c>
      <c r="H412" s="1851" t="s">
        <v>22</v>
      </c>
      <c r="I412" s="1851" t="s">
        <v>1108</v>
      </c>
    </row>
    <row customHeight="1" ht="11.25">
      <c r="A413" s="1851" t="s">
        <v>2569</v>
      </c>
      <c r="B413" s="1851" t="s">
        <v>16</v>
      </c>
      <c r="C413" s="1851" t="s">
        <v>3251</v>
      </c>
      <c r="D413" s="1851" t="s">
        <v>3252</v>
      </c>
      <c r="E413" s="1851" t="s">
        <v>2571</v>
      </c>
      <c r="F413" s="1851" t="s">
        <v>2572</v>
      </c>
      <c r="G413" s="1851" t="s">
        <v>22</v>
      </c>
      <c r="H413" s="1851" t="s">
        <v>22</v>
      </c>
      <c r="I413" s="1851" t="s">
        <v>1108</v>
      </c>
    </row>
    <row customHeight="1" ht="11.25">
      <c r="A414" s="1851" t="s">
        <v>2569</v>
      </c>
      <c r="B414" s="1851" t="s">
        <v>16</v>
      </c>
      <c r="C414" s="1851" t="s">
        <v>3253</v>
      </c>
      <c r="D414" s="1851" t="s">
        <v>3254</v>
      </c>
      <c r="E414" s="1851" t="s">
        <v>3255</v>
      </c>
      <c r="F414" s="1851" t="s">
        <v>2576</v>
      </c>
      <c r="G414" s="1851" t="s">
        <v>22</v>
      </c>
      <c r="H414" s="1851" t="s">
        <v>22</v>
      </c>
      <c r="I414" s="1851" t="s">
        <v>1108</v>
      </c>
    </row>
    <row customHeight="1" ht="11.25">
      <c r="A415" s="1851" t="s">
        <v>2569</v>
      </c>
      <c r="B415" s="1851" t="s">
        <v>16</v>
      </c>
      <c r="C415" s="1851" t="s">
        <v>3256</v>
      </c>
      <c r="D415" s="1851" t="s">
        <v>3257</v>
      </c>
      <c r="E415" s="1851" t="s">
        <v>3258</v>
      </c>
      <c r="F415" s="1851" t="s">
        <v>2576</v>
      </c>
      <c r="G415" s="1851" t="s">
        <v>22</v>
      </c>
      <c r="H415" s="1851" t="s">
        <v>22</v>
      </c>
      <c r="I415" s="1851" t="s">
        <v>1108</v>
      </c>
    </row>
    <row customHeight="1" ht="11.25">
      <c r="A416" s="1851" t="s">
        <v>2569</v>
      </c>
      <c r="B416" s="1851" t="s">
        <v>16</v>
      </c>
      <c r="C416" s="1851" t="s">
        <v>2912</v>
      </c>
      <c r="D416" s="1851" t="s">
        <v>2913</v>
      </c>
      <c r="E416" s="1851" t="s">
        <v>2914</v>
      </c>
      <c r="F416" s="1851" t="s">
        <v>2584</v>
      </c>
      <c r="G416" s="1851" t="s">
        <v>22</v>
      </c>
      <c r="H416" s="1851" t="s">
        <v>22</v>
      </c>
      <c r="I416" s="1851" t="s">
        <v>1108</v>
      </c>
    </row>
    <row customHeight="1" ht="11.25">
      <c r="A417" s="1851" t="s">
        <v>2569</v>
      </c>
      <c r="B417" s="1851" t="s">
        <v>16</v>
      </c>
      <c r="C417" s="1851" t="s">
        <v>2923</v>
      </c>
      <c r="D417" s="1851" t="s">
        <v>2924</v>
      </c>
      <c r="E417" s="1851" t="s">
        <v>2925</v>
      </c>
      <c r="F417" s="1851" t="s">
        <v>2894</v>
      </c>
      <c r="G417" s="1851" t="s">
        <v>2926</v>
      </c>
      <c r="H417" s="1851" t="s">
        <v>22</v>
      </c>
      <c r="I417" s="1851" t="s">
        <v>1108</v>
      </c>
    </row>
    <row customHeight="1" ht="11.25">
      <c r="A418" s="1851" t="s">
        <v>2569</v>
      </c>
      <c r="B418" s="1851" t="s">
        <v>16</v>
      </c>
      <c r="C418" s="1851" t="s">
        <v>2927</v>
      </c>
      <c r="D418" s="1851" t="s">
        <v>2928</v>
      </c>
      <c r="E418" s="1851" t="s">
        <v>2929</v>
      </c>
      <c r="F418" s="1851" t="s">
        <v>2625</v>
      </c>
      <c r="G418" s="1851" t="s">
        <v>2930</v>
      </c>
      <c r="H418" s="1851" t="s">
        <v>22</v>
      </c>
      <c r="I418" s="1851" t="s">
        <v>1108</v>
      </c>
    </row>
    <row customHeight="1" ht="11.25">
      <c r="A419" s="1851" t="s">
        <v>2569</v>
      </c>
      <c r="B419" s="1851" t="s">
        <v>16</v>
      </c>
      <c r="C419" s="1851" t="s">
        <v>3265</v>
      </c>
      <c r="D419" s="1851" t="s">
        <v>3266</v>
      </c>
      <c r="E419" s="1851" t="s">
        <v>3267</v>
      </c>
      <c r="F419" s="1851" t="s">
        <v>3268</v>
      </c>
      <c r="G419" s="1851" t="s">
        <v>22</v>
      </c>
      <c r="H419" s="1851" t="s">
        <v>22</v>
      </c>
      <c r="I419" s="1851" t="s">
        <v>1108</v>
      </c>
    </row>
    <row customHeight="1" ht="11.25">
      <c r="A420" s="1851" t="s">
        <v>2569</v>
      </c>
      <c r="B420" s="1851" t="s">
        <v>16</v>
      </c>
      <c r="C420" s="1851" t="s">
        <v>3269</v>
      </c>
      <c r="D420" s="1851" t="s">
        <v>3270</v>
      </c>
      <c r="E420" s="1851" t="s">
        <v>3271</v>
      </c>
      <c r="F420" s="1851" t="s">
        <v>2709</v>
      </c>
      <c r="G420" s="1851" t="s">
        <v>22</v>
      </c>
      <c r="H420" s="1851" t="s">
        <v>22</v>
      </c>
      <c r="I420" s="1851" t="s">
        <v>1108</v>
      </c>
    </row>
    <row customHeight="1" ht="11.25">
      <c r="A421" s="1851" t="s">
        <v>2569</v>
      </c>
      <c r="B421" s="1851" t="s">
        <v>16</v>
      </c>
      <c r="C421" s="1851" t="s">
        <v>2941</v>
      </c>
      <c r="D421" s="1851" t="s">
        <v>2942</v>
      </c>
      <c r="E421" s="1851" t="s">
        <v>2943</v>
      </c>
      <c r="F421" s="1851" t="s">
        <v>2774</v>
      </c>
      <c r="G421" s="1851" t="s">
        <v>22</v>
      </c>
      <c r="H421" s="1851" t="s">
        <v>22</v>
      </c>
      <c r="I421" s="1851" t="s">
        <v>1108</v>
      </c>
    </row>
    <row customHeight="1" ht="11.25">
      <c r="A422" s="1851" t="s">
        <v>2569</v>
      </c>
      <c r="B422" s="1851" t="s">
        <v>16</v>
      </c>
      <c r="C422" s="1851" t="s">
        <v>2944</v>
      </c>
      <c r="D422" s="1851" t="s">
        <v>2945</v>
      </c>
      <c r="E422" s="1851" t="s">
        <v>2946</v>
      </c>
      <c r="F422" s="1851" t="s">
        <v>2947</v>
      </c>
      <c r="G422" s="1851" t="s">
        <v>2948</v>
      </c>
      <c r="H422" s="1851" t="s">
        <v>22</v>
      </c>
      <c r="I422" s="1851" t="s">
        <v>1108</v>
      </c>
    </row>
    <row customHeight="1" ht="11.25">
      <c r="A423" s="1851" t="s">
        <v>2569</v>
      </c>
      <c r="B423" s="1851" t="s">
        <v>16</v>
      </c>
      <c r="C423" s="1851" t="s">
        <v>2949</v>
      </c>
      <c r="D423" s="1851" t="s">
        <v>2950</v>
      </c>
      <c r="E423" s="1851" t="s">
        <v>2951</v>
      </c>
      <c r="F423" s="1851" t="s">
        <v>2774</v>
      </c>
      <c r="G423" s="1851" t="s">
        <v>22</v>
      </c>
      <c r="H423" s="1851" t="s">
        <v>22</v>
      </c>
      <c r="I423" s="1851" t="s">
        <v>1108</v>
      </c>
    </row>
    <row customHeight="1" ht="11.25">
      <c r="A424" s="1851" t="s">
        <v>2569</v>
      </c>
      <c r="B424" s="1851" t="s">
        <v>16</v>
      </c>
      <c r="C424" s="1851" t="s">
        <v>2955</v>
      </c>
      <c r="D424" s="1851" t="s">
        <v>2956</v>
      </c>
      <c r="E424" s="1851" t="s">
        <v>2957</v>
      </c>
      <c r="F424" s="1851" t="s">
        <v>2709</v>
      </c>
      <c r="G424" s="1851" t="s">
        <v>22</v>
      </c>
      <c r="H424" s="1851" t="s">
        <v>22</v>
      </c>
      <c r="I424" s="1851" t="s">
        <v>1108</v>
      </c>
    </row>
    <row customHeight="1" ht="11.25">
      <c r="A425" s="1851" t="s">
        <v>2569</v>
      </c>
      <c r="B425" s="1851" t="s">
        <v>16</v>
      </c>
      <c r="C425" s="1851" t="s">
        <v>3272</v>
      </c>
      <c r="D425" s="1851" t="s">
        <v>3273</v>
      </c>
      <c r="E425" s="1851" t="s">
        <v>3274</v>
      </c>
      <c r="F425" s="1851" t="s">
        <v>3088</v>
      </c>
      <c r="G425" s="1851" t="s">
        <v>22</v>
      </c>
      <c r="H425" s="1851" t="s">
        <v>22</v>
      </c>
      <c r="I425" s="1851" t="s">
        <v>1108</v>
      </c>
    </row>
    <row customHeight="1" ht="11.25">
      <c r="A426" s="1851" t="s">
        <v>2569</v>
      </c>
      <c r="B426" s="1851" t="s">
        <v>16</v>
      </c>
      <c r="C426" s="1851" t="s">
        <v>3275</v>
      </c>
      <c r="D426" s="1851" t="s">
        <v>3276</v>
      </c>
      <c r="E426" s="1851" t="s">
        <v>3277</v>
      </c>
      <c r="F426" s="1851" t="s">
        <v>3088</v>
      </c>
      <c r="G426" s="1851" t="s">
        <v>22</v>
      </c>
      <c r="H426" s="1851" t="s">
        <v>22</v>
      </c>
      <c r="I426" s="1851" t="s">
        <v>1108</v>
      </c>
    </row>
    <row customHeight="1" ht="11.25">
      <c r="A427" s="1851" t="s">
        <v>2569</v>
      </c>
      <c r="B427" s="1851" t="s">
        <v>16</v>
      </c>
      <c r="C427" s="1851" t="s">
        <v>3278</v>
      </c>
      <c r="D427" s="1851" t="s">
        <v>3279</v>
      </c>
      <c r="E427" s="1851" t="s">
        <v>3280</v>
      </c>
      <c r="F427" s="1851" t="s">
        <v>2601</v>
      </c>
      <c r="G427" s="1851" t="s">
        <v>22</v>
      </c>
      <c r="H427" s="1851" t="s">
        <v>22</v>
      </c>
      <c r="I427" s="1851" t="s">
        <v>1108</v>
      </c>
    </row>
    <row customHeight="1" ht="11.25">
      <c r="A428" s="1851" t="s">
        <v>2569</v>
      </c>
      <c r="B428" s="1851" t="s">
        <v>16</v>
      </c>
      <c r="C428" s="1851" t="s">
        <v>2958</v>
      </c>
      <c r="D428" s="1851" t="s">
        <v>2959</v>
      </c>
      <c r="E428" s="1851" t="s">
        <v>2960</v>
      </c>
      <c r="F428" s="1851" t="s">
        <v>2580</v>
      </c>
      <c r="G428" s="1851" t="s">
        <v>22</v>
      </c>
      <c r="H428" s="1851" t="s">
        <v>22</v>
      </c>
      <c r="I428" s="1851" t="s">
        <v>1108</v>
      </c>
    </row>
    <row customHeight="1" ht="11.25">
      <c r="A429" s="1851" t="s">
        <v>2569</v>
      </c>
      <c r="B429" s="1851" t="s">
        <v>16</v>
      </c>
      <c r="C429" s="1851" t="s">
        <v>2961</v>
      </c>
      <c r="D429" s="1851" t="s">
        <v>2962</v>
      </c>
      <c r="E429" s="1851" t="s">
        <v>2963</v>
      </c>
      <c r="F429" s="1851" t="s">
        <v>2964</v>
      </c>
      <c r="G429" s="1851" t="s">
        <v>22</v>
      </c>
      <c r="H429" s="1851" t="s">
        <v>22</v>
      </c>
      <c r="I429" s="1851" t="s">
        <v>1108</v>
      </c>
    </row>
    <row customHeight="1" ht="11.25">
      <c r="A430" s="1851" t="s">
        <v>2569</v>
      </c>
      <c r="B430" s="1851" t="s">
        <v>16</v>
      </c>
      <c r="C430" s="1851" t="s">
        <v>3290</v>
      </c>
      <c r="D430" s="1851" t="s">
        <v>3291</v>
      </c>
      <c r="E430" s="1851" t="s">
        <v>3292</v>
      </c>
      <c r="F430" s="1851" t="s">
        <v>3144</v>
      </c>
      <c r="G430" s="1851" t="s">
        <v>3293</v>
      </c>
      <c r="H430" s="1851" t="s">
        <v>22</v>
      </c>
      <c r="I430" s="1851" t="s">
        <v>1108</v>
      </c>
    </row>
    <row customHeight="1" ht="11.25">
      <c r="A431" s="1851" t="s">
        <v>2569</v>
      </c>
      <c r="B431" s="1851" t="s">
        <v>16</v>
      </c>
      <c r="C431" s="1851" t="s">
        <v>3294</v>
      </c>
      <c r="D431" s="1851" t="s">
        <v>3295</v>
      </c>
      <c r="E431" s="1851" t="s">
        <v>3296</v>
      </c>
      <c r="F431" s="1851" t="s">
        <v>2679</v>
      </c>
      <c r="G431" s="1851" t="s">
        <v>22</v>
      </c>
      <c r="H431" s="1851" t="s">
        <v>22</v>
      </c>
      <c r="I431" s="1851" t="s">
        <v>1108</v>
      </c>
    </row>
    <row customHeight="1" ht="11.25">
      <c r="A432" s="1851" t="s">
        <v>2569</v>
      </c>
      <c r="B432" s="1851" t="s">
        <v>16</v>
      </c>
      <c r="C432" s="1851" t="s">
        <v>3297</v>
      </c>
      <c r="D432" s="1851" t="s">
        <v>3298</v>
      </c>
      <c r="E432" s="1851" t="s">
        <v>3299</v>
      </c>
      <c r="F432" s="1851" t="s">
        <v>2701</v>
      </c>
      <c r="G432" s="1851" t="s">
        <v>22</v>
      </c>
      <c r="H432" s="1851" t="s">
        <v>22</v>
      </c>
      <c r="I432" s="1851" t="s">
        <v>1108</v>
      </c>
    </row>
    <row customHeight="1" ht="11.25">
      <c r="A433" s="1851" t="s">
        <v>2569</v>
      </c>
      <c r="B433" s="1851" t="s">
        <v>16</v>
      </c>
      <c r="C433" s="1851" t="s">
        <v>3306</v>
      </c>
      <c r="D433" s="1851" t="s">
        <v>3307</v>
      </c>
      <c r="E433" s="1851" t="s">
        <v>3308</v>
      </c>
      <c r="F433" s="1851" t="s">
        <v>3088</v>
      </c>
      <c r="G433" s="1851" t="s">
        <v>3309</v>
      </c>
      <c r="H433" s="1851" t="s">
        <v>22</v>
      </c>
      <c r="I433" s="1851" t="s">
        <v>1108</v>
      </c>
    </row>
    <row customHeight="1" ht="11.25">
      <c r="A434" s="1851" t="s">
        <v>2569</v>
      </c>
      <c r="B434" s="1851" t="s">
        <v>16</v>
      </c>
      <c r="C434" s="1851" t="s">
        <v>3310</v>
      </c>
      <c r="D434" s="1851" t="s">
        <v>3311</v>
      </c>
      <c r="E434" s="1851" t="s">
        <v>3312</v>
      </c>
      <c r="F434" s="1851" t="s">
        <v>2634</v>
      </c>
      <c r="G434" s="1851" t="s">
        <v>22</v>
      </c>
      <c r="H434" s="1851" t="s">
        <v>22</v>
      </c>
      <c r="I434" s="1851" t="s">
        <v>1108</v>
      </c>
    </row>
    <row customHeight="1" ht="11.25">
      <c r="A435" s="1851" t="s">
        <v>2569</v>
      </c>
      <c r="B435" s="1851" t="s">
        <v>16</v>
      </c>
      <c r="C435" s="1851" t="s">
        <v>2991</v>
      </c>
      <c r="D435" s="1851" t="s">
        <v>2992</v>
      </c>
      <c r="E435" s="1851" t="s">
        <v>2993</v>
      </c>
      <c r="F435" s="1851" t="s">
        <v>2601</v>
      </c>
      <c r="G435" s="1851" t="s">
        <v>22</v>
      </c>
      <c r="H435" s="1851" t="s">
        <v>22</v>
      </c>
      <c r="I435" s="1851" t="s">
        <v>1108</v>
      </c>
    </row>
    <row customHeight="1" ht="11.25">
      <c r="A436" s="1851" t="s">
        <v>2569</v>
      </c>
      <c r="B436" s="1851" t="s">
        <v>16</v>
      </c>
      <c r="C436" s="1851" t="s">
        <v>22</v>
      </c>
      <c r="D436" s="1851" t="s">
        <v>2570</v>
      </c>
      <c r="E436" s="1851" t="s">
        <v>2571</v>
      </c>
      <c r="F436" s="1851" t="s">
        <v>2572</v>
      </c>
      <c r="G436" s="1851" t="s">
        <v>22</v>
      </c>
      <c r="H436" s="1851" t="s">
        <v>22</v>
      </c>
      <c r="I436" s="1851" t="s">
        <v>1948</v>
      </c>
    </row>
    <row customHeight="1" ht="11.25">
      <c r="A437" s="1851" t="s">
        <v>2569</v>
      </c>
      <c r="B437" s="1851" t="s">
        <v>16</v>
      </c>
      <c r="C437" s="1851" t="s">
        <v>3346</v>
      </c>
      <c r="D437" s="1851" t="s">
        <v>3347</v>
      </c>
      <c r="E437" s="1851" t="s">
        <v>3348</v>
      </c>
      <c r="F437" s="1851" t="s">
        <v>713</v>
      </c>
      <c r="G437" s="1851" t="s">
        <v>3349</v>
      </c>
      <c r="H437" s="1851" t="s">
        <v>22</v>
      </c>
      <c r="I437" s="1851" t="s">
        <v>1948</v>
      </c>
    </row>
    <row customHeight="1" ht="11.25">
      <c r="A438" s="1851" t="s">
        <v>2569</v>
      </c>
      <c r="B438" s="1851" t="s">
        <v>16</v>
      </c>
      <c r="C438" s="1851" t="s">
        <v>2716</v>
      </c>
      <c r="D438" s="1851" t="s">
        <v>2717</v>
      </c>
      <c r="E438" s="1851" t="s">
        <v>2718</v>
      </c>
      <c r="F438" s="1851" t="s">
        <v>50</v>
      </c>
      <c r="G438" s="1851" t="s">
        <v>22</v>
      </c>
      <c r="H438" s="1851" t="s">
        <v>22</v>
      </c>
      <c r="I438" s="1851" t="s">
        <v>1948</v>
      </c>
    </row>
    <row customHeight="1" ht="11.25">
      <c r="A439" s="1851" t="s">
        <v>2569</v>
      </c>
      <c r="B439" s="1851" t="s">
        <v>16</v>
      </c>
      <c r="C439" s="1851" t="s">
        <v>3062</v>
      </c>
      <c r="D439" s="1851" t="s">
        <v>3063</v>
      </c>
      <c r="E439" s="1851" t="s">
        <v>3064</v>
      </c>
      <c r="F439" s="1851" t="s">
        <v>2799</v>
      </c>
      <c r="G439" s="1851" t="s">
        <v>22</v>
      </c>
      <c r="H439" s="1851" t="s">
        <v>22</v>
      </c>
      <c r="I439" s="1851" t="s">
        <v>1948</v>
      </c>
    </row>
    <row customHeight="1" ht="11.25">
      <c r="A440" s="1851" t="s">
        <v>2569</v>
      </c>
      <c r="B440" s="1851" t="s">
        <v>16</v>
      </c>
      <c r="C440" s="1851" t="s">
        <v>3350</v>
      </c>
      <c r="D440" s="1851" t="s">
        <v>3351</v>
      </c>
      <c r="E440" s="1851" t="s">
        <v>3352</v>
      </c>
      <c r="F440" s="1851" t="s">
        <v>2812</v>
      </c>
      <c r="G440" s="1851" t="s">
        <v>3353</v>
      </c>
      <c r="H440" s="1851" t="s">
        <v>22</v>
      </c>
      <c r="I440" s="1851" t="s">
        <v>1948</v>
      </c>
    </row>
    <row customHeight="1" ht="11.25">
      <c r="A441" s="1851" t="s">
        <v>2569</v>
      </c>
      <c r="B441" s="1851" t="s">
        <v>16</v>
      </c>
      <c r="C441" s="1851" t="s">
        <v>2727</v>
      </c>
      <c r="D441" s="1851" t="s">
        <v>2728</v>
      </c>
      <c r="E441" s="1851" t="s">
        <v>2729</v>
      </c>
      <c r="F441" s="1851" t="s">
        <v>2601</v>
      </c>
      <c r="G441" s="1851" t="s">
        <v>22</v>
      </c>
      <c r="H441" s="1851" t="s">
        <v>22</v>
      </c>
      <c r="I441" s="1851" t="s">
        <v>1948</v>
      </c>
    </row>
    <row customHeight="1" ht="11.25">
      <c r="A442" s="1851" t="s">
        <v>2569</v>
      </c>
      <c r="B442" s="1851" t="s">
        <v>16</v>
      </c>
      <c r="C442" s="1851" t="s">
        <v>3354</v>
      </c>
      <c r="D442" s="1851" t="s">
        <v>3355</v>
      </c>
      <c r="E442" s="1851" t="s">
        <v>3356</v>
      </c>
      <c r="F442" s="1851" t="s">
        <v>2701</v>
      </c>
      <c r="G442" s="1851" t="s">
        <v>22</v>
      </c>
      <c r="H442" s="1851" t="s">
        <v>22</v>
      </c>
      <c r="I442" s="1851" t="s">
        <v>1948</v>
      </c>
    </row>
    <row customHeight="1" ht="11.25">
      <c r="A443" s="1851" t="s">
        <v>2569</v>
      </c>
      <c r="B443" s="1851" t="s">
        <v>16</v>
      </c>
      <c r="C443" s="1851" t="s">
        <v>2734</v>
      </c>
      <c r="D443" s="1851" t="s">
        <v>2735</v>
      </c>
      <c r="E443" s="1851" t="s">
        <v>2736</v>
      </c>
      <c r="F443" s="1851" t="s">
        <v>2609</v>
      </c>
      <c r="G443" s="1851" t="s">
        <v>22</v>
      </c>
      <c r="H443" s="1851" t="s">
        <v>22</v>
      </c>
      <c r="I443" s="1851" t="s">
        <v>1948</v>
      </c>
    </row>
    <row customHeight="1" ht="11.25">
      <c r="A444" s="1851" t="s">
        <v>2569</v>
      </c>
      <c r="B444" s="1851" t="s">
        <v>16</v>
      </c>
      <c r="C444" s="1851" t="s">
        <v>2737</v>
      </c>
      <c r="D444" s="1851" t="s">
        <v>2738</v>
      </c>
      <c r="E444" s="1851" t="s">
        <v>2739</v>
      </c>
      <c r="F444" s="1851" t="s">
        <v>2609</v>
      </c>
      <c r="G444" s="1851" t="s">
        <v>22</v>
      </c>
      <c r="H444" s="1851" t="s">
        <v>22</v>
      </c>
      <c r="I444" s="1851" t="s">
        <v>1948</v>
      </c>
    </row>
    <row customHeight="1" ht="11.25">
      <c r="A445" s="1851" t="s">
        <v>2569</v>
      </c>
      <c r="B445" s="1851" t="s">
        <v>16</v>
      </c>
      <c r="C445" s="1851" t="s">
        <v>3357</v>
      </c>
      <c r="D445" s="1851" t="s">
        <v>3358</v>
      </c>
      <c r="E445" s="1851" t="s">
        <v>3359</v>
      </c>
      <c r="F445" s="1851" t="s">
        <v>2743</v>
      </c>
      <c r="G445" s="1851" t="s">
        <v>3360</v>
      </c>
      <c r="H445" s="1851" t="s">
        <v>22</v>
      </c>
      <c r="I445" s="1851" t="s">
        <v>1948</v>
      </c>
    </row>
    <row customHeight="1" ht="11.25">
      <c r="A446" s="1851" t="s">
        <v>2569</v>
      </c>
      <c r="B446" s="1851" t="s">
        <v>16</v>
      </c>
      <c r="C446" s="1851" t="s">
        <v>3361</v>
      </c>
      <c r="D446" s="1851" t="s">
        <v>3362</v>
      </c>
      <c r="E446" s="1851" t="s">
        <v>3363</v>
      </c>
      <c r="F446" s="1851" t="s">
        <v>2726</v>
      </c>
      <c r="G446" s="1851" t="s">
        <v>22</v>
      </c>
      <c r="H446" s="1851" t="s">
        <v>22</v>
      </c>
      <c r="I446" s="1851" t="s">
        <v>1948</v>
      </c>
    </row>
    <row customHeight="1" ht="11.25">
      <c r="A447" s="1851" t="s">
        <v>2569</v>
      </c>
      <c r="B447" s="1851" t="s">
        <v>16</v>
      </c>
      <c r="C447" s="1851" t="s">
        <v>3364</v>
      </c>
      <c r="D447" s="1851" t="s">
        <v>3365</v>
      </c>
      <c r="E447" s="1851" t="s">
        <v>3366</v>
      </c>
      <c r="F447" s="1851" t="s">
        <v>2613</v>
      </c>
      <c r="G447" s="1851" t="s">
        <v>22</v>
      </c>
      <c r="H447" s="1851" t="s">
        <v>22</v>
      </c>
      <c r="I447" s="1851" t="s">
        <v>1948</v>
      </c>
    </row>
    <row customHeight="1" ht="11.25">
      <c r="A448" s="1851" t="s">
        <v>2569</v>
      </c>
      <c r="B448" s="1851" t="s">
        <v>16</v>
      </c>
      <c r="C448" s="1851" t="s">
        <v>3367</v>
      </c>
      <c r="D448" s="1851" t="s">
        <v>3368</v>
      </c>
      <c r="E448" s="1851" t="s">
        <v>3369</v>
      </c>
      <c r="F448" s="1851" t="s">
        <v>2572</v>
      </c>
      <c r="G448" s="1851" t="s">
        <v>3370</v>
      </c>
      <c r="H448" s="1851" t="s">
        <v>22</v>
      </c>
      <c r="I448" s="1851" t="s">
        <v>1948</v>
      </c>
    </row>
    <row customHeight="1" ht="11.25">
      <c r="A449" s="1851" t="s">
        <v>2569</v>
      </c>
      <c r="B449" s="1851" t="s">
        <v>16</v>
      </c>
      <c r="C449" s="1851" t="s">
        <v>3371</v>
      </c>
      <c r="D449" s="1851" t="s">
        <v>3372</v>
      </c>
      <c r="E449" s="1851" t="s">
        <v>3373</v>
      </c>
      <c r="F449" s="1851" t="s">
        <v>2767</v>
      </c>
      <c r="G449" s="1851" t="s">
        <v>3374</v>
      </c>
      <c r="H449" s="1851" t="s">
        <v>22</v>
      </c>
      <c r="I449" s="1851" t="s">
        <v>1948</v>
      </c>
    </row>
    <row customHeight="1" ht="11.25">
      <c r="A450" s="1851" t="s">
        <v>2569</v>
      </c>
      <c r="B450" s="1851" t="s">
        <v>16</v>
      </c>
      <c r="C450" s="1851" t="s">
        <v>3375</v>
      </c>
      <c r="D450" s="1851" t="s">
        <v>3376</v>
      </c>
      <c r="E450" s="1851" t="s">
        <v>3377</v>
      </c>
      <c r="F450" s="1851" t="s">
        <v>2812</v>
      </c>
      <c r="G450" s="1851" t="s">
        <v>3378</v>
      </c>
      <c r="H450" s="1851" t="s">
        <v>22</v>
      </c>
      <c r="I450" s="1851" t="s">
        <v>1948</v>
      </c>
    </row>
    <row customHeight="1" ht="11.25">
      <c r="A451" s="1851" t="s">
        <v>2569</v>
      </c>
      <c r="B451" s="1851" t="s">
        <v>16</v>
      </c>
      <c r="C451" s="1851" t="s">
        <v>3379</v>
      </c>
      <c r="D451" s="1851" t="s">
        <v>3380</v>
      </c>
      <c r="E451" s="1851" t="s">
        <v>3381</v>
      </c>
      <c r="F451" s="1851" t="s">
        <v>2840</v>
      </c>
      <c r="G451" s="1851" t="s">
        <v>3382</v>
      </c>
      <c r="H451" s="1851" t="s">
        <v>22</v>
      </c>
      <c r="I451" s="1851" t="s">
        <v>1948</v>
      </c>
    </row>
    <row customHeight="1" ht="11.25">
      <c r="A452" s="1851" t="s">
        <v>2569</v>
      </c>
      <c r="B452" s="1851" t="s">
        <v>16</v>
      </c>
      <c r="C452" s="1851" t="s">
        <v>3383</v>
      </c>
      <c r="D452" s="1851" t="s">
        <v>3384</v>
      </c>
      <c r="E452" s="1851" t="s">
        <v>3385</v>
      </c>
      <c r="F452" s="1851" t="s">
        <v>2908</v>
      </c>
      <c r="G452" s="1851" t="s">
        <v>3386</v>
      </c>
      <c r="H452" s="1851" t="s">
        <v>22</v>
      </c>
      <c r="I452" s="1851" t="s">
        <v>1948</v>
      </c>
    </row>
    <row customHeight="1" ht="11.25">
      <c r="A453" s="1851" t="s">
        <v>2569</v>
      </c>
      <c r="B453" s="1851" t="s">
        <v>16</v>
      </c>
      <c r="C453" s="1851" t="s">
        <v>3387</v>
      </c>
      <c r="D453" s="1851" t="s">
        <v>3388</v>
      </c>
      <c r="E453" s="1851" t="s">
        <v>3389</v>
      </c>
      <c r="F453" s="1851" t="s">
        <v>3077</v>
      </c>
      <c r="G453" s="1851" t="s">
        <v>3390</v>
      </c>
      <c r="H453" s="1851" t="s">
        <v>22</v>
      </c>
      <c r="I453" s="1851" t="s">
        <v>1948</v>
      </c>
    </row>
    <row customHeight="1" ht="11.25">
      <c r="A454" s="1851" t="s">
        <v>2569</v>
      </c>
      <c r="B454" s="1851" t="s">
        <v>16</v>
      </c>
      <c r="C454" s="1851" t="s">
        <v>3175</v>
      </c>
      <c r="D454" s="1851" t="s">
        <v>3176</v>
      </c>
      <c r="E454" s="1851" t="s">
        <v>3177</v>
      </c>
      <c r="F454" s="1851" t="s">
        <v>2799</v>
      </c>
      <c r="G454" s="1851" t="s">
        <v>22</v>
      </c>
      <c r="H454" s="1851" t="s">
        <v>22</v>
      </c>
      <c r="I454" s="1851" t="s">
        <v>1948</v>
      </c>
    </row>
    <row customHeight="1" ht="11.25">
      <c r="A455" s="1851" t="s">
        <v>2569</v>
      </c>
      <c r="B455" s="1851" t="s">
        <v>16</v>
      </c>
      <c r="C455" s="1851" t="s">
        <v>3391</v>
      </c>
      <c r="D455" s="1851" t="s">
        <v>3392</v>
      </c>
      <c r="E455" s="1851" t="s">
        <v>3393</v>
      </c>
      <c r="F455" s="1851" t="s">
        <v>2990</v>
      </c>
      <c r="G455" s="1851" t="s">
        <v>3394</v>
      </c>
      <c r="H455" s="1851" t="s">
        <v>22</v>
      </c>
      <c r="I455" s="1851" t="s">
        <v>1948</v>
      </c>
    </row>
    <row customHeight="1" ht="11.25">
      <c r="A456" s="1851" t="s">
        <v>2569</v>
      </c>
      <c r="B456" s="1851" t="s">
        <v>16</v>
      </c>
      <c r="C456" s="1851" t="s">
        <v>3395</v>
      </c>
      <c r="D456" s="1851" t="s">
        <v>3396</v>
      </c>
      <c r="E456" s="1851" t="s">
        <v>3397</v>
      </c>
      <c r="F456" s="1851" t="s">
        <v>2634</v>
      </c>
      <c r="G456" s="1851" t="s">
        <v>22</v>
      </c>
      <c r="H456" s="1851" t="s">
        <v>22</v>
      </c>
      <c r="I456" s="1851" t="s">
        <v>1948</v>
      </c>
    </row>
    <row customHeight="1" ht="11.25">
      <c r="A457" s="1851" t="s">
        <v>2569</v>
      </c>
      <c r="B457" s="1851" t="s">
        <v>16</v>
      </c>
      <c r="C457" s="1851" t="s">
        <v>3398</v>
      </c>
      <c r="D457" s="1851" t="s">
        <v>3399</v>
      </c>
      <c r="E457" s="1851" t="s">
        <v>3400</v>
      </c>
      <c r="F457" s="1851" t="s">
        <v>2576</v>
      </c>
      <c r="G457" s="1851" t="s">
        <v>3401</v>
      </c>
      <c r="H457" s="1851" t="s">
        <v>22</v>
      </c>
      <c r="I457" s="1851" t="s">
        <v>1948</v>
      </c>
    </row>
    <row customHeight="1" ht="11.25">
      <c r="A458" s="1851" t="s">
        <v>2569</v>
      </c>
      <c r="B458" s="1851" t="s">
        <v>16</v>
      </c>
      <c r="C458" s="1851" t="s">
        <v>3402</v>
      </c>
      <c r="D458" s="1851" t="s">
        <v>3403</v>
      </c>
      <c r="E458" s="1851" t="s">
        <v>3404</v>
      </c>
      <c r="F458" s="1851" t="s">
        <v>2887</v>
      </c>
      <c r="G458" s="1851" t="s">
        <v>22</v>
      </c>
      <c r="H458" s="1851" t="s">
        <v>22</v>
      </c>
      <c r="I458" s="1851" t="s">
        <v>1948</v>
      </c>
    </row>
    <row customHeight="1" ht="11.25">
      <c r="A459" s="1851" t="s">
        <v>2569</v>
      </c>
      <c r="B459" s="1851" t="s">
        <v>16</v>
      </c>
      <c r="C459" s="1851" t="s">
        <v>3405</v>
      </c>
      <c r="D459" s="1851" t="s">
        <v>3406</v>
      </c>
      <c r="E459" s="1851" t="s">
        <v>3407</v>
      </c>
      <c r="F459" s="1851" t="s">
        <v>2726</v>
      </c>
      <c r="G459" s="1851" t="s">
        <v>3408</v>
      </c>
      <c r="H459" s="1851" t="s">
        <v>22</v>
      </c>
      <c r="I459" s="1851" t="s">
        <v>1948</v>
      </c>
    </row>
    <row customHeight="1" ht="11.25">
      <c r="A460" s="1851" t="s">
        <v>2569</v>
      </c>
      <c r="B460" s="1851" t="s">
        <v>16</v>
      </c>
      <c r="C460" s="1851" t="s">
        <v>3409</v>
      </c>
      <c r="D460" s="1851" t="s">
        <v>3410</v>
      </c>
      <c r="E460" s="1851" t="s">
        <v>3411</v>
      </c>
      <c r="F460" s="1851" t="s">
        <v>2829</v>
      </c>
      <c r="G460" s="1851" t="s">
        <v>22</v>
      </c>
      <c r="H460" s="1851" t="s">
        <v>22</v>
      </c>
      <c r="I460" s="1851" t="s">
        <v>1948</v>
      </c>
    </row>
    <row customHeight="1" ht="11.25">
      <c r="A461" s="1851" t="s">
        <v>2569</v>
      </c>
      <c r="B461" s="1851" t="s">
        <v>16</v>
      </c>
      <c r="C461" s="1851" t="s">
        <v>3412</v>
      </c>
      <c r="D461" s="1851" t="s">
        <v>3413</v>
      </c>
      <c r="E461" s="1851" t="s">
        <v>3414</v>
      </c>
      <c r="F461" s="1851" t="s">
        <v>2576</v>
      </c>
      <c r="G461" s="1851" t="s">
        <v>3415</v>
      </c>
      <c r="H461" s="1851" t="s">
        <v>22</v>
      </c>
      <c r="I461" s="1851" t="s">
        <v>1948</v>
      </c>
    </row>
    <row customHeight="1" ht="11.25">
      <c r="A462" s="1851" t="s">
        <v>2569</v>
      </c>
      <c r="B462" s="1851" t="s">
        <v>16</v>
      </c>
      <c r="C462" s="1851" t="s">
        <v>3416</v>
      </c>
      <c r="D462" s="1851" t="s">
        <v>3417</v>
      </c>
      <c r="E462" s="1851" t="s">
        <v>3418</v>
      </c>
      <c r="F462" s="1851" t="s">
        <v>2572</v>
      </c>
      <c r="G462" s="1851" t="s">
        <v>3419</v>
      </c>
      <c r="H462" s="1851" t="s">
        <v>22</v>
      </c>
      <c r="I462" s="1851" t="s">
        <v>1948</v>
      </c>
    </row>
    <row customHeight="1" ht="11.25">
      <c r="A463" s="1851" t="s">
        <v>2569</v>
      </c>
      <c r="B463" s="1851" t="s">
        <v>16</v>
      </c>
      <c r="C463" s="1851" t="s">
        <v>3420</v>
      </c>
      <c r="D463" s="1851" t="s">
        <v>3421</v>
      </c>
      <c r="E463" s="1851" t="s">
        <v>3422</v>
      </c>
      <c r="F463" s="1851" t="s">
        <v>2679</v>
      </c>
      <c r="G463" s="1851" t="s">
        <v>22</v>
      </c>
      <c r="H463" s="1851" t="s">
        <v>22</v>
      </c>
      <c r="I463" s="1851" t="s">
        <v>1948</v>
      </c>
    </row>
    <row customHeight="1" ht="11.25">
      <c r="A464" s="1851" t="s">
        <v>2569</v>
      </c>
      <c r="B464" s="1851" t="s">
        <v>16</v>
      </c>
      <c r="C464" s="1851" t="s">
        <v>3423</v>
      </c>
      <c r="D464" s="1851" t="s">
        <v>3424</v>
      </c>
      <c r="E464" s="1851" t="s">
        <v>3425</v>
      </c>
      <c r="F464" s="1851" t="s">
        <v>2634</v>
      </c>
      <c r="G464" s="1851" t="s">
        <v>22</v>
      </c>
      <c r="H464" s="1851" t="s">
        <v>22</v>
      </c>
      <c r="I464" s="1851" t="s">
        <v>1948</v>
      </c>
    </row>
    <row customHeight="1" ht="11.25">
      <c r="A465" s="1851" t="s">
        <v>2569</v>
      </c>
      <c r="B465" s="1851" t="s">
        <v>16</v>
      </c>
      <c r="C465" s="1851" t="s">
        <v>3426</v>
      </c>
      <c r="D465" s="1851" t="s">
        <v>3427</v>
      </c>
      <c r="E465" s="1851" t="s">
        <v>3428</v>
      </c>
      <c r="F465" s="1851" t="s">
        <v>2601</v>
      </c>
      <c r="G465" s="1851" t="s">
        <v>3429</v>
      </c>
      <c r="H465" s="1851" t="s">
        <v>22</v>
      </c>
      <c r="I465" s="1851" t="s">
        <v>1948</v>
      </c>
    </row>
    <row customHeight="1" ht="11.25">
      <c r="A466" s="1851" t="s">
        <v>2569</v>
      </c>
      <c r="B466" s="1851" t="s">
        <v>16</v>
      </c>
      <c r="C466" s="1851" t="s">
        <v>3220</v>
      </c>
      <c r="D466" s="1851" t="s">
        <v>3221</v>
      </c>
      <c r="E466" s="1851" t="s">
        <v>3222</v>
      </c>
      <c r="F466" s="1851" t="s">
        <v>2753</v>
      </c>
      <c r="G466" s="1851" t="s">
        <v>22</v>
      </c>
      <c r="H466" s="1851" t="s">
        <v>22</v>
      </c>
      <c r="I466" s="1851" t="s">
        <v>1948</v>
      </c>
    </row>
    <row customHeight="1" ht="11.25">
      <c r="A467" s="1851" t="s">
        <v>2569</v>
      </c>
      <c r="B467" s="1851" t="s">
        <v>16</v>
      </c>
      <c r="C467" s="1851" t="s">
        <v>3430</v>
      </c>
      <c r="D467" s="1851" t="s">
        <v>3431</v>
      </c>
      <c r="E467" s="1851" t="s">
        <v>3432</v>
      </c>
      <c r="F467" s="1851" t="s">
        <v>2572</v>
      </c>
      <c r="G467" s="1851" t="s">
        <v>3433</v>
      </c>
      <c r="H467" s="1851" t="s">
        <v>22</v>
      </c>
      <c r="I467" s="1851" t="s">
        <v>1948</v>
      </c>
    </row>
    <row customHeight="1" ht="11.25">
      <c r="A468" s="1851" t="s">
        <v>2569</v>
      </c>
      <c r="B468" s="1851" t="s">
        <v>16</v>
      </c>
      <c r="C468" s="1851" t="s">
        <v>3434</v>
      </c>
      <c r="D468" s="1851" t="s">
        <v>3435</v>
      </c>
      <c r="E468" s="1851" t="s">
        <v>3436</v>
      </c>
      <c r="F468" s="1851" t="s">
        <v>2774</v>
      </c>
      <c r="G468" s="1851" t="s">
        <v>3437</v>
      </c>
      <c r="H468" s="1851" t="s">
        <v>22</v>
      </c>
      <c r="I468" s="1851" t="s">
        <v>1948</v>
      </c>
    </row>
    <row customHeight="1" ht="11.25">
      <c r="A469" s="1851" t="s">
        <v>2569</v>
      </c>
      <c r="B469" s="1851" t="s">
        <v>16</v>
      </c>
      <c r="C469" s="1851" t="s">
        <v>3438</v>
      </c>
      <c r="D469" s="1851" t="s">
        <v>3439</v>
      </c>
      <c r="E469" s="1851" t="s">
        <v>3440</v>
      </c>
      <c r="F469" s="1851" t="s">
        <v>2812</v>
      </c>
      <c r="G469" s="1851" t="s">
        <v>3441</v>
      </c>
      <c r="H469" s="1851" t="s">
        <v>22</v>
      </c>
      <c r="I469" s="1851" t="s">
        <v>1948</v>
      </c>
    </row>
    <row customHeight="1" ht="11.25">
      <c r="A470" s="1851" t="s">
        <v>2569</v>
      </c>
      <c r="B470" s="1851" t="s">
        <v>16</v>
      </c>
      <c r="C470" s="1851" t="s">
        <v>3442</v>
      </c>
      <c r="D470" s="1851" t="s">
        <v>3443</v>
      </c>
      <c r="E470" s="1851" t="s">
        <v>3444</v>
      </c>
      <c r="F470" s="1851" t="s">
        <v>2840</v>
      </c>
      <c r="G470" s="1851" t="s">
        <v>3445</v>
      </c>
      <c r="H470" s="1851" t="s">
        <v>22</v>
      </c>
      <c r="I470" s="1851" t="s">
        <v>1948</v>
      </c>
    </row>
    <row customHeight="1" ht="11.25">
      <c r="A471" s="1851" t="s">
        <v>2569</v>
      </c>
      <c r="B471" s="1851" t="s">
        <v>16</v>
      </c>
      <c r="C471" s="1851" t="s">
        <v>3446</v>
      </c>
      <c r="D471" s="1851" t="s">
        <v>3447</v>
      </c>
      <c r="E471" s="1851" t="s">
        <v>3448</v>
      </c>
      <c r="F471" s="1851" t="s">
        <v>2709</v>
      </c>
      <c r="G471" s="1851" t="s">
        <v>3449</v>
      </c>
      <c r="H471" s="1851" t="s">
        <v>22</v>
      </c>
      <c r="I471" s="1851" t="s">
        <v>1948</v>
      </c>
    </row>
    <row customHeight="1" ht="11.25">
      <c r="A472" s="1851" t="s">
        <v>2569</v>
      </c>
      <c r="B472" s="1851" t="s">
        <v>16</v>
      </c>
      <c r="C472" s="1851" t="s">
        <v>3450</v>
      </c>
      <c r="D472" s="1851" t="s">
        <v>3451</v>
      </c>
      <c r="E472" s="1851" t="s">
        <v>3452</v>
      </c>
      <c r="F472" s="1851" t="s">
        <v>2767</v>
      </c>
      <c r="G472" s="1851" t="s">
        <v>3453</v>
      </c>
      <c r="H472" s="1851" t="s">
        <v>22</v>
      </c>
      <c r="I472" s="1851" t="s">
        <v>1948</v>
      </c>
    </row>
    <row customHeight="1" ht="11.25">
      <c r="A473" s="1851" t="s">
        <v>2569</v>
      </c>
      <c r="B473" s="1851" t="s">
        <v>16</v>
      </c>
      <c r="C473" s="1851" t="s">
        <v>3454</v>
      </c>
      <c r="D473" s="1851" t="s">
        <v>3455</v>
      </c>
      <c r="E473" s="1851" t="s">
        <v>3456</v>
      </c>
      <c r="F473" s="1851" t="s">
        <v>2625</v>
      </c>
      <c r="G473" s="1851" t="s">
        <v>3457</v>
      </c>
      <c r="H473" s="1851" t="s">
        <v>22</v>
      </c>
      <c r="I473" s="1851" t="s">
        <v>1948</v>
      </c>
    </row>
    <row customHeight="1" ht="11.25">
      <c r="A474" s="1851" t="s">
        <v>2569</v>
      </c>
      <c r="B474" s="1851" t="s">
        <v>16</v>
      </c>
      <c r="C474" s="1851" t="s">
        <v>3458</v>
      </c>
      <c r="D474" s="1851" t="s">
        <v>3459</v>
      </c>
      <c r="E474" s="1851" t="s">
        <v>3460</v>
      </c>
      <c r="F474" s="1851" t="s">
        <v>2840</v>
      </c>
      <c r="G474" s="1851" t="s">
        <v>22</v>
      </c>
      <c r="H474" s="1851" t="s">
        <v>22</v>
      </c>
      <c r="I474" s="1851" t="s">
        <v>1948</v>
      </c>
    </row>
    <row customHeight="1" ht="11.25">
      <c r="A475" s="1851" t="s">
        <v>2569</v>
      </c>
      <c r="B475" s="1851" t="s">
        <v>16</v>
      </c>
      <c r="C475" s="1851" t="s">
        <v>3461</v>
      </c>
      <c r="D475" s="1851" t="s">
        <v>3462</v>
      </c>
      <c r="E475" s="1851" t="s">
        <v>3463</v>
      </c>
      <c r="F475" s="1851" t="s">
        <v>2767</v>
      </c>
      <c r="G475" s="1851" t="s">
        <v>3464</v>
      </c>
      <c r="H475" s="1851" t="s">
        <v>22</v>
      </c>
      <c r="I475" s="1851" t="s">
        <v>1948</v>
      </c>
    </row>
    <row customHeight="1" ht="11.25">
      <c r="A476" s="1851" t="s">
        <v>2569</v>
      </c>
      <c r="B476" s="1851" t="s">
        <v>16</v>
      </c>
      <c r="C476" s="1851" t="s">
        <v>3465</v>
      </c>
      <c r="D476" s="1851" t="s">
        <v>3466</v>
      </c>
      <c r="E476" s="1851" t="s">
        <v>3467</v>
      </c>
      <c r="F476" s="1851" t="s">
        <v>2613</v>
      </c>
      <c r="G476" s="1851" t="s">
        <v>3468</v>
      </c>
      <c r="H476" s="1851" t="s">
        <v>22</v>
      </c>
      <c r="I476" s="1851" t="s">
        <v>1948</v>
      </c>
    </row>
    <row customHeight="1" ht="11.25">
      <c r="A477" s="1851" t="s">
        <v>2569</v>
      </c>
      <c r="B477" s="1851" t="s">
        <v>16</v>
      </c>
      <c r="C477" s="1851" t="s">
        <v>3469</v>
      </c>
      <c r="D477" s="1851" t="s">
        <v>3470</v>
      </c>
      <c r="E477" s="1851" t="s">
        <v>3471</v>
      </c>
      <c r="F477" s="1851" t="s">
        <v>2576</v>
      </c>
      <c r="G477" s="1851" t="s">
        <v>3472</v>
      </c>
      <c r="H477" s="1851" t="s">
        <v>22</v>
      </c>
      <c r="I477" s="1851" t="s">
        <v>1948</v>
      </c>
    </row>
    <row customHeight="1" ht="11.25">
      <c r="A478" s="1851" t="s">
        <v>2569</v>
      </c>
      <c r="B478" s="1851" t="s">
        <v>16</v>
      </c>
      <c r="C478" s="1851" t="s">
        <v>3473</v>
      </c>
      <c r="D478" s="1851" t="s">
        <v>3474</v>
      </c>
      <c r="E478" s="1851" t="s">
        <v>3475</v>
      </c>
      <c r="F478" s="1851" t="s">
        <v>2576</v>
      </c>
      <c r="G478" s="1851" t="s">
        <v>3476</v>
      </c>
      <c r="H478" s="1851" t="s">
        <v>22</v>
      </c>
      <c r="I478" s="1851" t="s">
        <v>1948</v>
      </c>
    </row>
    <row customHeight="1" ht="11.25">
      <c r="A479" s="1851" t="s">
        <v>2569</v>
      </c>
      <c r="B479" s="1851" t="s">
        <v>16</v>
      </c>
      <c r="C479" s="1851" t="s">
        <v>3477</v>
      </c>
      <c r="D479" s="1851" t="s">
        <v>3478</v>
      </c>
      <c r="E479" s="1851" t="s">
        <v>3479</v>
      </c>
      <c r="F479" s="1851" t="s">
        <v>2701</v>
      </c>
      <c r="G479" s="1851" t="s">
        <v>3480</v>
      </c>
      <c r="H479" s="1851" t="s">
        <v>22</v>
      </c>
      <c r="I479" s="1851" t="s">
        <v>1948</v>
      </c>
    </row>
    <row customHeight="1" ht="11.25">
      <c r="A480" s="1851" t="s">
        <v>2569</v>
      </c>
      <c r="B480" s="1851" t="s">
        <v>16</v>
      </c>
      <c r="C480" s="1851" t="s">
        <v>3481</v>
      </c>
      <c r="D480" s="1851" t="s">
        <v>3482</v>
      </c>
      <c r="E480" s="1851" t="s">
        <v>3483</v>
      </c>
      <c r="F480" s="1851" t="s">
        <v>3268</v>
      </c>
      <c r="G480" s="1851" t="s">
        <v>3484</v>
      </c>
      <c r="H480" s="1851" t="s">
        <v>22</v>
      </c>
      <c r="I480" s="1851" t="s">
        <v>1948</v>
      </c>
    </row>
    <row customHeight="1" ht="11.25">
      <c r="A481" s="1851" t="s">
        <v>2569</v>
      </c>
      <c r="B481" s="1851" t="s">
        <v>16</v>
      </c>
      <c r="C481" s="1851" t="s">
        <v>3485</v>
      </c>
      <c r="D481" s="1851" t="s">
        <v>3486</v>
      </c>
      <c r="E481" s="1851" t="s">
        <v>3487</v>
      </c>
      <c r="F481" s="1851" t="s">
        <v>2634</v>
      </c>
      <c r="G481" s="1851" t="s">
        <v>22</v>
      </c>
      <c r="H481" s="1851" t="s">
        <v>22</v>
      </c>
      <c r="I481" s="1851" t="s">
        <v>1948</v>
      </c>
    </row>
    <row customHeight="1" ht="11.25">
      <c r="A482" s="1851" t="s">
        <v>2569</v>
      </c>
      <c r="B482" s="1851" t="s">
        <v>16</v>
      </c>
      <c r="C482" s="1851" t="s">
        <v>3488</v>
      </c>
      <c r="D482" s="1851" t="s">
        <v>3489</v>
      </c>
      <c r="E482" s="1851" t="s">
        <v>3490</v>
      </c>
      <c r="F482" s="1851" t="s">
        <v>2743</v>
      </c>
      <c r="G482" s="1851" t="s">
        <v>22</v>
      </c>
      <c r="H482" s="1851" t="s">
        <v>22</v>
      </c>
      <c r="I482" s="1851" t="s">
        <v>1948</v>
      </c>
    </row>
    <row customHeight="1" ht="11.25">
      <c r="A483" s="1851" t="s">
        <v>2569</v>
      </c>
      <c r="B483" s="1851" t="s">
        <v>16</v>
      </c>
      <c r="C483" s="1851" t="s">
        <v>3491</v>
      </c>
      <c r="D483" s="1851" t="s">
        <v>3492</v>
      </c>
      <c r="E483" s="1851" t="s">
        <v>3493</v>
      </c>
      <c r="F483" s="1851" t="s">
        <v>2576</v>
      </c>
      <c r="G483" s="1851" t="s">
        <v>22</v>
      </c>
      <c r="H483" s="1851" t="s">
        <v>22</v>
      </c>
      <c r="I483" s="1851" t="s">
        <v>1948</v>
      </c>
    </row>
    <row customHeight="1" ht="11.25">
      <c r="A484" s="1851" t="s">
        <v>2569</v>
      </c>
      <c r="B484" s="1851" t="s">
        <v>16</v>
      </c>
      <c r="C484" s="1851" t="s">
        <v>3494</v>
      </c>
      <c r="D484" s="1851" t="s">
        <v>3495</v>
      </c>
      <c r="E484" s="1851" t="s">
        <v>3496</v>
      </c>
      <c r="F484" s="1851" t="s">
        <v>2964</v>
      </c>
      <c r="G484" s="1851" t="s">
        <v>22</v>
      </c>
      <c r="H484" s="1851" t="s">
        <v>22</v>
      </c>
      <c r="I484" s="1851" t="s">
        <v>1948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CA13-6458-8FD8-A8EA-AEFEB1F86C1B}"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7" t="s">
        <v>3497</v>
      </c>
      <c r="B1" s="68" t="s">
        <v>3498</v>
      </c>
      <c r="C1" s="68" t="s">
        <v>3499</v>
      </c>
      <c r="D1" s="68" t="s">
        <v>3500</v>
      </c>
      <c r="E1" s="64" t="s">
        <v>3501</v>
      </c>
      <c r="F1" s="64" t="s">
        <v>3502</v>
      </c>
      <c r="G1" s="64" t="s">
        <v>3503</v>
      </c>
    </row>
    <row customHeight="1" ht="11.25">
      <c r="A2" s="377" t="s">
        <v>16</v>
      </c>
      <c r="B2" s="0" t="s">
        <v>106</v>
      </c>
      <c r="C2" s="0" t="s">
        <v>107</v>
      </c>
      <c r="D2" s="0" t="s">
        <v>106</v>
      </c>
      <c r="E2" s="0" t="s">
        <v>107</v>
      </c>
      <c r="F2" s="0" t="s">
        <v>3504</v>
      </c>
      <c r="G2" s="0" t="s">
        <v>105</v>
      </c>
    </row>
    <row customHeight="1" ht="11.25">
      <c r="A3" s="377" t="s">
        <v>16</v>
      </c>
      <c r="B3" s="0" t="s">
        <v>3505</v>
      </c>
      <c r="C3" s="0" t="s">
        <v>3506</v>
      </c>
      <c r="D3" s="0" t="s">
        <v>3505</v>
      </c>
      <c r="E3" s="0" t="s">
        <v>3506</v>
      </c>
      <c r="F3" s="0" t="s">
        <v>3507</v>
      </c>
      <c r="G3" s="0" t="s">
        <v>102</v>
      </c>
    </row>
    <row customHeight="1" ht="11.25">
      <c r="A4" s="377" t="s">
        <v>16</v>
      </c>
      <c r="B4" s="0" t="s">
        <v>3508</v>
      </c>
      <c r="C4" s="0" t="s">
        <v>3509</v>
      </c>
      <c r="D4" s="0" t="s">
        <v>3508</v>
      </c>
      <c r="E4" s="0" t="s">
        <v>3509</v>
      </c>
      <c r="F4" s="0" t="s">
        <v>3507</v>
      </c>
      <c r="G4" s="0" t="s">
        <v>89</v>
      </c>
    </row>
    <row customHeight="1" ht="11.25">
      <c r="A5" s="377" t="s">
        <v>16</v>
      </c>
      <c r="B5" s="0" t="s">
        <v>3510</v>
      </c>
      <c r="C5" s="0" t="s">
        <v>3511</v>
      </c>
      <c r="D5" s="0" t="s">
        <v>3510</v>
      </c>
      <c r="E5" s="0" t="s">
        <v>3511</v>
      </c>
      <c r="F5" s="0" t="s">
        <v>3507</v>
      </c>
      <c r="G5" s="0" t="s">
        <v>90</v>
      </c>
    </row>
    <row customHeight="1" ht="11.25">
      <c r="A6" s="377" t="s">
        <v>16</v>
      </c>
      <c r="B6" s="0" t="s">
        <v>150</v>
      </c>
      <c r="C6" s="0" t="s">
        <v>151</v>
      </c>
      <c r="D6" s="0" t="s">
        <v>150</v>
      </c>
      <c r="E6" s="0" t="s">
        <v>151</v>
      </c>
      <c r="F6" s="0" t="s">
        <v>3507</v>
      </c>
      <c r="G6" s="0" t="s">
        <v>120</v>
      </c>
    </row>
    <row customHeight="1" ht="11.25">
      <c r="A7" s="377" t="s">
        <v>16</v>
      </c>
      <c r="B7" s="0" t="s">
        <v>127</v>
      </c>
      <c r="C7" s="0" t="s">
        <v>128</v>
      </c>
      <c r="D7" s="0" t="s">
        <v>127</v>
      </c>
      <c r="E7" s="0" t="s">
        <v>128</v>
      </c>
      <c r="F7" s="0" t="s">
        <v>3507</v>
      </c>
      <c r="G7" s="0" t="s">
        <v>91</v>
      </c>
    </row>
    <row customHeight="1" ht="11.25">
      <c r="A8" s="377" t="s">
        <v>16</v>
      </c>
      <c r="B8" s="0" t="s">
        <v>163</v>
      </c>
      <c r="C8" s="0" t="s">
        <v>164</v>
      </c>
      <c r="D8" s="0" t="s">
        <v>163</v>
      </c>
      <c r="E8" s="0" t="s">
        <v>164</v>
      </c>
      <c r="F8" s="0" t="s">
        <v>3507</v>
      </c>
      <c r="G8" s="0" t="s">
        <v>92</v>
      </c>
    </row>
    <row customHeight="1" ht="11.25">
      <c r="A9" s="377" t="s">
        <v>16</v>
      </c>
      <c r="B9" s="0" t="s">
        <v>3512</v>
      </c>
      <c r="C9" s="0" t="s">
        <v>3513</v>
      </c>
      <c r="D9" s="0" t="s">
        <v>3514</v>
      </c>
      <c r="E9" s="0" t="s">
        <v>3515</v>
      </c>
      <c r="F9" s="0" t="s">
        <v>3516</v>
      </c>
      <c r="G9" s="0" t="s">
        <v>133</v>
      </c>
    </row>
    <row customHeight="1" ht="11.25">
      <c r="A10" s="377" t="s">
        <v>16</v>
      </c>
      <c r="B10" s="0" t="s">
        <v>3512</v>
      </c>
      <c r="C10" s="0" t="s">
        <v>3513</v>
      </c>
      <c r="D10" s="0" t="s">
        <v>3512</v>
      </c>
      <c r="E10" s="0" t="s">
        <v>3513</v>
      </c>
      <c r="F10" s="0" t="s">
        <v>3517</v>
      </c>
      <c r="G10" s="0" t="s">
        <v>148</v>
      </c>
    </row>
    <row customHeight="1" ht="11.25">
      <c r="A11" s="377" t="s">
        <v>16</v>
      </c>
      <c r="B11" s="0" t="s">
        <v>3512</v>
      </c>
      <c r="C11" s="0" t="s">
        <v>3513</v>
      </c>
      <c r="D11" s="0" t="s">
        <v>3518</v>
      </c>
      <c r="E11" s="0" t="s">
        <v>3519</v>
      </c>
      <c r="F11" s="0" t="s">
        <v>3516</v>
      </c>
      <c r="G11" s="0" t="s">
        <v>155</v>
      </c>
    </row>
    <row customHeight="1" ht="11.25">
      <c r="A12" s="377" t="s">
        <v>16</v>
      </c>
      <c r="B12" s="0" t="s">
        <v>3512</v>
      </c>
      <c r="C12" s="0" t="s">
        <v>3513</v>
      </c>
      <c r="D12" s="0" t="s">
        <v>3520</v>
      </c>
      <c r="E12" s="0" t="s">
        <v>3521</v>
      </c>
      <c r="F12" s="0" t="s">
        <v>3522</v>
      </c>
      <c r="G12" s="0" t="s">
        <v>161</v>
      </c>
    </row>
    <row customHeight="1" ht="11.25">
      <c r="A13" s="377" t="s">
        <v>16</v>
      </c>
      <c r="B13" s="0" t="s">
        <v>3512</v>
      </c>
      <c r="C13" s="0" t="s">
        <v>3513</v>
      </c>
      <c r="D13" s="0" t="s">
        <v>3523</v>
      </c>
      <c r="E13" s="0" t="s">
        <v>3524</v>
      </c>
      <c r="F13" s="0" t="s">
        <v>3516</v>
      </c>
      <c r="G13" s="0" t="s">
        <v>165</v>
      </c>
    </row>
    <row customHeight="1" ht="11.25">
      <c r="A14" s="377" t="s">
        <v>16</v>
      </c>
      <c r="B14" s="0" t="s">
        <v>3512</v>
      </c>
      <c r="C14" s="0" t="s">
        <v>3513</v>
      </c>
      <c r="D14" s="0" t="s">
        <v>3525</v>
      </c>
      <c r="E14" s="0" t="s">
        <v>3526</v>
      </c>
      <c r="F14" s="0" t="s">
        <v>3516</v>
      </c>
      <c r="G14" s="0" t="s">
        <v>292</v>
      </c>
    </row>
    <row customHeight="1" ht="11.25">
      <c r="A15" s="377" t="s">
        <v>16</v>
      </c>
      <c r="B15" s="0" t="s">
        <v>3512</v>
      </c>
      <c r="C15" s="0" t="s">
        <v>3513</v>
      </c>
      <c r="D15" s="0" t="s">
        <v>3527</v>
      </c>
      <c r="E15" s="0" t="s">
        <v>3528</v>
      </c>
      <c r="F15" s="0" t="s">
        <v>3516</v>
      </c>
      <c r="G15" s="0" t="s">
        <v>293</v>
      </c>
    </row>
    <row customHeight="1" ht="11.25">
      <c r="A16" s="377" t="s">
        <v>16</v>
      </c>
      <c r="B16" s="0" t="s">
        <v>3512</v>
      </c>
      <c r="C16" s="0" t="s">
        <v>3513</v>
      </c>
      <c r="D16" s="0" t="s">
        <v>3529</v>
      </c>
      <c r="E16" s="0" t="s">
        <v>3530</v>
      </c>
      <c r="F16" s="0" t="s">
        <v>3516</v>
      </c>
      <c r="G16" s="0" t="s">
        <v>1794</v>
      </c>
    </row>
    <row customHeight="1" ht="11.25">
      <c r="A17" s="377" t="s">
        <v>16</v>
      </c>
      <c r="B17" s="0" t="s">
        <v>131</v>
      </c>
      <c r="C17" s="0" t="s">
        <v>132</v>
      </c>
      <c r="D17" s="0" t="s">
        <v>131</v>
      </c>
      <c r="E17" s="0" t="s">
        <v>132</v>
      </c>
      <c r="F17" s="0" t="s">
        <v>3504</v>
      </c>
      <c r="G17" s="0" t="s">
        <v>130</v>
      </c>
    </row>
    <row customHeight="1" ht="11.25">
      <c r="A18" s="377" t="s">
        <v>16</v>
      </c>
      <c r="B18" s="0" t="s">
        <v>3531</v>
      </c>
      <c r="C18" s="0" t="s">
        <v>3532</v>
      </c>
      <c r="D18" s="0" t="s">
        <v>3533</v>
      </c>
      <c r="E18" s="0" t="s">
        <v>3534</v>
      </c>
      <c r="F18" s="0" t="s">
        <v>3516</v>
      </c>
      <c r="G18" s="0" t="s">
        <v>1811</v>
      </c>
    </row>
    <row customHeight="1" ht="11.25">
      <c r="A19" s="377" t="s">
        <v>16</v>
      </c>
      <c r="B19" s="0" t="s">
        <v>3531</v>
      </c>
      <c r="C19" s="0" t="s">
        <v>3532</v>
      </c>
      <c r="D19" s="0" t="s">
        <v>3535</v>
      </c>
      <c r="E19" s="0" t="s">
        <v>3536</v>
      </c>
      <c r="F19" s="0" t="s">
        <v>3537</v>
      </c>
      <c r="G19" s="0" t="s">
        <v>1825</v>
      </c>
    </row>
    <row customHeight="1" ht="11.25">
      <c r="A20" s="377" t="s">
        <v>16</v>
      </c>
      <c r="B20" s="0" t="s">
        <v>3531</v>
      </c>
      <c r="C20" s="0" t="s">
        <v>3532</v>
      </c>
      <c r="D20" s="0" t="s">
        <v>3531</v>
      </c>
      <c r="E20" s="0" t="s">
        <v>3532</v>
      </c>
      <c r="F20" s="0" t="s">
        <v>3517</v>
      </c>
      <c r="G20" s="0" t="s">
        <v>1837</v>
      </c>
    </row>
    <row customHeight="1" ht="11.25">
      <c r="A21" s="377" t="s">
        <v>16</v>
      </c>
      <c r="B21" s="0" t="s">
        <v>3531</v>
      </c>
      <c r="C21" s="0" t="s">
        <v>3532</v>
      </c>
      <c r="D21" s="0" t="s">
        <v>3538</v>
      </c>
      <c r="E21" s="0" t="s">
        <v>3539</v>
      </c>
      <c r="F21" s="0" t="s">
        <v>3537</v>
      </c>
      <c r="G21" s="0" t="s">
        <v>1846</v>
      </c>
    </row>
    <row customHeight="1" ht="11.25">
      <c r="A22" s="377" t="s">
        <v>16</v>
      </c>
      <c r="B22" s="0" t="s">
        <v>3531</v>
      </c>
      <c r="C22" s="0" t="s">
        <v>3532</v>
      </c>
      <c r="D22" s="0" t="s">
        <v>3540</v>
      </c>
      <c r="E22" s="0" t="s">
        <v>3541</v>
      </c>
      <c r="F22" s="0" t="s">
        <v>3516</v>
      </c>
      <c r="G22" s="0" t="s">
        <v>1862</v>
      </c>
    </row>
    <row customHeight="1" ht="11.25">
      <c r="A23" s="377" t="s">
        <v>16</v>
      </c>
      <c r="B23" s="0" t="s">
        <v>3531</v>
      </c>
      <c r="C23" s="0" t="s">
        <v>3532</v>
      </c>
      <c r="D23" s="0" t="s">
        <v>3542</v>
      </c>
      <c r="E23" s="0" t="s">
        <v>3543</v>
      </c>
      <c r="F23" s="0" t="s">
        <v>3522</v>
      </c>
      <c r="G23" s="0" t="s">
        <v>1869</v>
      </c>
    </row>
    <row customHeight="1" ht="11.25">
      <c r="A24" s="377" t="s">
        <v>16</v>
      </c>
      <c r="B24" s="0" t="s">
        <v>3531</v>
      </c>
      <c r="C24" s="0" t="s">
        <v>3532</v>
      </c>
      <c r="D24" s="0" t="s">
        <v>3544</v>
      </c>
      <c r="E24" s="0" t="s">
        <v>3545</v>
      </c>
      <c r="F24" s="0" t="s">
        <v>3516</v>
      </c>
      <c r="G24" s="0" t="s">
        <v>1877</v>
      </c>
    </row>
    <row customHeight="1" ht="11.25">
      <c r="A25" s="377" t="s">
        <v>16</v>
      </c>
      <c r="B25" s="0" t="s">
        <v>3531</v>
      </c>
      <c r="C25" s="0" t="s">
        <v>3532</v>
      </c>
      <c r="D25" s="0" t="s">
        <v>3546</v>
      </c>
      <c r="E25" s="0" t="s">
        <v>3547</v>
      </c>
      <c r="F25" s="0" t="s">
        <v>3516</v>
      </c>
      <c r="G25" s="0" t="s">
        <v>1883</v>
      </c>
    </row>
    <row customHeight="1" ht="11.25">
      <c r="A26" s="377" t="s">
        <v>16</v>
      </c>
      <c r="B26" s="0" t="s">
        <v>3548</v>
      </c>
      <c r="C26" s="0" t="s">
        <v>3549</v>
      </c>
      <c r="D26" s="0" t="s">
        <v>3548</v>
      </c>
      <c r="E26" s="0" t="s">
        <v>3549</v>
      </c>
      <c r="F26" s="0" t="s">
        <v>3504</v>
      </c>
      <c r="G26" s="0" t="s">
        <v>1887</v>
      </c>
    </row>
    <row customHeight="1" ht="11.25">
      <c r="A27" s="377" t="s">
        <v>16</v>
      </c>
      <c r="B27" s="0" t="s">
        <v>158</v>
      </c>
      <c r="C27" s="0" t="s">
        <v>3550</v>
      </c>
      <c r="D27" s="0" t="s">
        <v>3551</v>
      </c>
      <c r="E27" s="0" t="s">
        <v>3552</v>
      </c>
      <c r="F27" s="0" t="s">
        <v>3537</v>
      </c>
      <c r="G27" s="0" t="s">
        <v>1892</v>
      </c>
    </row>
    <row customHeight="1" ht="11.25">
      <c r="A28" s="377" t="s">
        <v>16</v>
      </c>
      <c r="B28" s="0" t="s">
        <v>158</v>
      </c>
      <c r="C28" s="0" t="s">
        <v>3550</v>
      </c>
      <c r="D28" s="0" t="s">
        <v>3553</v>
      </c>
      <c r="E28" s="0" t="s">
        <v>3554</v>
      </c>
      <c r="F28" s="0" t="s">
        <v>3516</v>
      </c>
      <c r="G28" s="0" t="s">
        <v>1900</v>
      </c>
    </row>
    <row customHeight="1" ht="11.25">
      <c r="A29" s="377" t="s">
        <v>16</v>
      </c>
      <c r="B29" s="0" t="s">
        <v>158</v>
      </c>
      <c r="C29" s="0" t="s">
        <v>3550</v>
      </c>
      <c r="D29" s="0" t="s">
        <v>159</v>
      </c>
      <c r="E29" s="0" t="s">
        <v>160</v>
      </c>
      <c r="F29" s="0" t="s">
        <v>3516</v>
      </c>
      <c r="G29" s="0" t="s">
        <v>157</v>
      </c>
    </row>
    <row customHeight="1" ht="11.25">
      <c r="A30" s="377" t="s">
        <v>16</v>
      </c>
      <c r="B30" s="0" t="s">
        <v>158</v>
      </c>
      <c r="C30" s="0" t="s">
        <v>3550</v>
      </c>
      <c r="D30" s="0" t="s">
        <v>3555</v>
      </c>
      <c r="E30" s="0" t="s">
        <v>3556</v>
      </c>
      <c r="F30" s="0" t="s">
        <v>3516</v>
      </c>
      <c r="G30" s="0" t="s">
        <v>1904</v>
      </c>
    </row>
    <row customHeight="1" ht="11.25">
      <c r="A31" s="377" t="s">
        <v>16</v>
      </c>
      <c r="B31" s="0" t="s">
        <v>158</v>
      </c>
      <c r="C31" s="0" t="s">
        <v>3550</v>
      </c>
      <c r="D31" s="0" t="s">
        <v>3557</v>
      </c>
      <c r="E31" s="0" t="s">
        <v>3558</v>
      </c>
      <c r="F31" s="0" t="s">
        <v>3516</v>
      </c>
      <c r="G31" s="0" t="s">
        <v>1910</v>
      </c>
    </row>
    <row customHeight="1" ht="11.25">
      <c r="A32" s="377" t="s">
        <v>16</v>
      </c>
      <c r="B32" s="0" t="s">
        <v>158</v>
      </c>
      <c r="C32" s="0" t="s">
        <v>3550</v>
      </c>
      <c r="D32" s="0" t="s">
        <v>158</v>
      </c>
      <c r="E32" s="0" t="s">
        <v>3550</v>
      </c>
      <c r="F32" s="0" t="s">
        <v>3517</v>
      </c>
      <c r="G32" s="0" t="s">
        <v>1912</v>
      </c>
    </row>
    <row customHeight="1" ht="11.25">
      <c r="A33" s="377" t="s">
        <v>16</v>
      </c>
      <c r="B33" s="0" t="s">
        <v>158</v>
      </c>
      <c r="C33" s="0" t="s">
        <v>3550</v>
      </c>
      <c r="D33" s="0" t="s">
        <v>3559</v>
      </c>
      <c r="E33" s="0" t="s">
        <v>3560</v>
      </c>
      <c r="F33" s="0" t="s">
        <v>3516</v>
      </c>
      <c r="G33" s="0" t="s">
        <v>1914</v>
      </c>
    </row>
    <row customHeight="1" ht="11.25">
      <c r="A34" s="377" t="s">
        <v>16</v>
      </c>
      <c r="B34" s="0" t="s">
        <v>158</v>
      </c>
      <c r="C34" s="0" t="s">
        <v>3550</v>
      </c>
      <c r="D34" s="0" t="s">
        <v>3561</v>
      </c>
      <c r="E34" s="0" t="s">
        <v>3562</v>
      </c>
      <c r="F34" s="0" t="s">
        <v>3516</v>
      </c>
      <c r="G34" s="0" t="s">
        <v>1916</v>
      </c>
    </row>
    <row customHeight="1" ht="11.25">
      <c r="A35" s="377" t="s">
        <v>16</v>
      </c>
      <c r="B35" s="0" t="s">
        <v>158</v>
      </c>
      <c r="C35" s="0" t="s">
        <v>3550</v>
      </c>
      <c r="D35" s="0" t="s">
        <v>3563</v>
      </c>
      <c r="E35" s="0" t="s">
        <v>3564</v>
      </c>
      <c r="F35" s="0" t="s">
        <v>3516</v>
      </c>
      <c r="G35" s="0" t="s">
        <v>1921</v>
      </c>
    </row>
    <row customHeight="1" ht="11.25">
      <c r="A36" s="377" t="s">
        <v>16</v>
      </c>
      <c r="B36" s="0" t="s">
        <v>158</v>
      </c>
      <c r="C36" s="0" t="s">
        <v>3550</v>
      </c>
      <c r="D36" s="0" t="s">
        <v>3565</v>
      </c>
      <c r="E36" s="0" t="s">
        <v>3566</v>
      </c>
      <c r="F36" s="0" t="s">
        <v>3516</v>
      </c>
      <c r="G36" s="0" t="s">
        <v>1926</v>
      </c>
    </row>
    <row customHeight="1" ht="11.25">
      <c r="A37" s="377" t="s">
        <v>16</v>
      </c>
      <c r="B37" s="0" t="s">
        <v>158</v>
      </c>
      <c r="C37" s="0" t="s">
        <v>3550</v>
      </c>
      <c r="D37" s="0" t="s">
        <v>3567</v>
      </c>
      <c r="E37" s="0" t="s">
        <v>3568</v>
      </c>
      <c r="F37" s="0" t="s">
        <v>3516</v>
      </c>
      <c r="G37" s="0" t="s">
        <v>1930</v>
      </c>
    </row>
    <row customHeight="1" ht="11.25">
      <c r="A38" s="377" t="s">
        <v>16</v>
      </c>
      <c r="B38" s="0" t="s">
        <v>3569</v>
      </c>
      <c r="C38" s="0" t="s">
        <v>3570</v>
      </c>
      <c r="D38" s="0" t="s">
        <v>3569</v>
      </c>
      <c r="E38" s="0" t="s">
        <v>3570</v>
      </c>
      <c r="F38" s="0" t="s">
        <v>3504</v>
      </c>
      <c r="G38" s="0" t="s">
        <v>1938</v>
      </c>
    </row>
    <row customHeight="1" ht="11.25">
      <c r="A39" s="377" t="s">
        <v>16</v>
      </c>
      <c r="B39" s="0" t="s">
        <v>3571</v>
      </c>
      <c r="C39" s="0" t="s">
        <v>3572</v>
      </c>
      <c r="D39" s="0" t="s">
        <v>3571</v>
      </c>
      <c r="E39" s="0" t="s">
        <v>3572</v>
      </c>
      <c r="F39" s="0" t="s">
        <v>3507</v>
      </c>
      <c r="G39" s="0" t="s">
        <v>1944</v>
      </c>
    </row>
    <row customHeight="1" ht="11.25">
      <c r="A40" s="377" t="s">
        <v>16</v>
      </c>
      <c r="B40" s="0" t="s">
        <v>3573</v>
      </c>
      <c r="C40" s="0" t="s">
        <v>3574</v>
      </c>
      <c r="D40" s="0" t="s">
        <v>3573</v>
      </c>
      <c r="E40" s="0" t="s">
        <v>3574</v>
      </c>
      <c r="F40" s="0" t="s">
        <v>3504</v>
      </c>
      <c r="G40" s="0" t="s">
        <v>1949</v>
      </c>
    </row>
    <row customHeight="1" ht="11.25">
      <c r="A41" s="377" t="s">
        <v>16</v>
      </c>
      <c r="B41" s="0" t="s">
        <v>123</v>
      </c>
      <c r="C41" s="0" t="s">
        <v>3575</v>
      </c>
      <c r="D41" s="0" t="s">
        <v>3576</v>
      </c>
      <c r="E41" s="0" t="s">
        <v>3577</v>
      </c>
      <c r="F41" s="0" t="s">
        <v>3516</v>
      </c>
      <c r="G41" s="0" t="s">
        <v>1953</v>
      </c>
    </row>
    <row customHeight="1" ht="11.25">
      <c r="A42" s="377" t="s">
        <v>16</v>
      </c>
      <c r="B42" s="0" t="s">
        <v>123</v>
      </c>
      <c r="C42" s="0" t="s">
        <v>3575</v>
      </c>
      <c r="D42" s="0" t="s">
        <v>3578</v>
      </c>
      <c r="E42" s="0" t="s">
        <v>3579</v>
      </c>
      <c r="F42" s="0" t="s">
        <v>3516</v>
      </c>
      <c r="G42" s="0" t="s">
        <v>1956</v>
      </c>
    </row>
    <row customHeight="1" ht="11.25">
      <c r="A43" s="377" t="s">
        <v>16</v>
      </c>
      <c r="B43" s="0" t="s">
        <v>123</v>
      </c>
      <c r="C43" s="0" t="s">
        <v>3575</v>
      </c>
      <c r="D43" s="0" t="s">
        <v>3580</v>
      </c>
      <c r="E43" s="0" t="s">
        <v>3581</v>
      </c>
      <c r="F43" s="0" t="s">
        <v>3516</v>
      </c>
      <c r="G43" s="0" t="s">
        <v>1963</v>
      </c>
    </row>
    <row customHeight="1" ht="11.25">
      <c r="A44" s="377" t="s">
        <v>16</v>
      </c>
      <c r="B44" s="0" t="s">
        <v>123</v>
      </c>
      <c r="C44" s="0" t="s">
        <v>3575</v>
      </c>
      <c r="D44" s="0" t="s">
        <v>123</v>
      </c>
      <c r="E44" s="0" t="s">
        <v>3575</v>
      </c>
      <c r="F44" s="0" t="s">
        <v>3517</v>
      </c>
      <c r="G44" s="0" t="s">
        <v>1972</v>
      </c>
    </row>
    <row customHeight="1" ht="11.25">
      <c r="A45" s="377" t="s">
        <v>16</v>
      </c>
      <c r="B45" s="0" t="s">
        <v>123</v>
      </c>
      <c r="C45" s="0" t="s">
        <v>3575</v>
      </c>
      <c r="D45" s="0" t="s">
        <v>3582</v>
      </c>
      <c r="E45" s="0" t="s">
        <v>3583</v>
      </c>
      <c r="F45" s="0" t="s">
        <v>3516</v>
      </c>
      <c r="G45" s="0" t="s">
        <v>1977</v>
      </c>
    </row>
    <row customHeight="1" ht="11.25">
      <c r="A46" s="377" t="s">
        <v>16</v>
      </c>
      <c r="B46" s="0" t="s">
        <v>123</v>
      </c>
      <c r="C46" s="0" t="s">
        <v>3575</v>
      </c>
      <c r="D46" s="0" t="s">
        <v>124</v>
      </c>
      <c r="E46" s="0" t="s">
        <v>125</v>
      </c>
      <c r="F46" s="0" t="s">
        <v>3537</v>
      </c>
      <c r="G46" s="0" t="s">
        <v>122</v>
      </c>
    </row>
    <row customHeight="1" ht="11.25">
      <c r="A47" s="377" t="s">
        <v>16</v>
      </c>
      <c r="B47" s="0" t="s">
        <v>123</v>
      </c>
      <c r="C47" s="0" t="s">
        <v>3575</v>
      </c>
      <c r="D47" s="0" t="s">
        <v>3584</v>
      </c>
      <c r="E47" s="0" t="s">
        <v>3585</v>
      </c>
      <c r="F47" s="0" t="s">
        <v>3516</v>
      </c>
      <c r="G47" s="0" t="s">
        <v>1985</v>
      </c>
    </row>
    <row customHeight="1" ht="11.25">
      <c r="A48" s="377" t="s">
        <v>16</v>
      </c>
      <c r="B48" s="0" t="s">
        <v>123</v>
      </c>
      <c r="C48" s="0" t="s">
        <v>3575</v>
      </c>
      <c r="D48" s="0" t="s">
        <v>3586</v>
      </c>
      <c r="E48" s="0" t="s">
        <v>3587</v>
      </c>
      <c r="F48" s="0" t="s">
        <v>3516</v>
      </c>
      <c r="G48" s="0" t="s">
        <v>1989</v>
      </c>
    </row>
    <row customHeight="1" ht="11.25">
      <c r="A49" s="377" t="s">
        <v>16</v>
      </c>
      <c r="B49" s="0" t="s">
        <v>3588</v>
      </c>
      <c r="C49" s="0" t="s">
        <v>3589</v>
      </c>
      <c r="D49" s="0" t="s">
        <v>3588</v>
      </c>
      <c r="E49" s="0" t="s">
        <v>3589</v>
      </c>
      <c r="F49" s="0" t="s">
        <v>3517</v>
      </c>
      <c r="G49" s="0" t="s">
        <v>1992</v>
      </c>
    </row>
    <row customHeight="1" ht="11.25">
      <c r="A50" s="377" t="s">
        <v>16</v>
      </c>
      <c r="B50" s="0" t="s">
        <v>3588</v>
      </c>
      <c r="C50" s="0" t="s">
        <v>3589</v>
      </c>
      <c r="D50" s="0" t="s">
        <v>3590</v>
      </c>
      <c r="E50" s="0" t="s">
        <v>3591</v>
      </c>
      <c r="F50" s="0" t="s">
        <v>3516</v>
      </c>
      <c r="G50" s="0" t="s">
        <v>1996</v>
      </c>
    </row>
    <row customHeight="1" ht="11.25">
      <c r="A51" s="377" t="s">
        <v>16</v>
      </c>
      <c r="B51" s="0" t="s">
        <v>3588</v>
      </c>
      <c r="C51" s="0" t="s">
        <v>3589</v>
      </c>
      <c r="D51" s="0" t="s">
        <v>3592</v>
      </c>
      <c r="E51" s="0" t="s">
        <v>3593</v>
      </c>
      <c r="F51" s="0" t="s">
        <v>3516</v>
      </c>
      <c r="G51" s="0" t="s">
        <v>2001</v>
      </c>
    </row>
    <row customHeight="1" ht="11.25">
      <c r="A52" s="377" t="s">
        <v>16</v>
      </c>
      <c r="B52" s="0" t="s">
        <v>3588</v>
      </c>
      <c r="C52" s="0" t="s">
        <v>3589</v>
      </c>
      <c r="D52" s="0" t="s">
        <v>3594</v>
      </c>
      <c r="E52" s="0" t="s">
        <v>3595</v>
      </c>
      <c r="F52" s="0" t="s">
        <v>3516</v>
      </c>
      <c r="G52" s="0" t="s">
        <v>2005</v>
      </c>
    </row>
    <row customHeight="1" ht="11.25">
      <c r="A53" s="377" t="s">
        <v>16</v>
      </c>
      <c r="B53" s="0" t="s">
        <v>3596</v>
      </c>
      <c r="C53" s="0" t="s">
        <v>3597</v>
      </c>
      <c r="D53" s="0" t="s">
        <v>3596</v>
      </c>
      <c r="E53" s="0" t="s">
        <v>3597</v>
      </c>
      <c r="F53" s="0" t="s">
        <v>3507</v>
      </c>
      <c r="G53" s="0" t="s">
        <v>2007</v>
      </c>
    </row>
    <row customHeight="1" ht="11.25">
      <c r="A54" s="377" t="s">
        <v>16</v>
      </c>
      <c r="B54" s="0" t="s">
        <v>3598</v>
      </c>
      <c r="C54" s="0" t="s">
        <v>3599</v>
      </c>
      <c r="D54" s="0" t="s">
        <v>3598</v>
      </c>
      <c r="E54" s="0" t="s">
        <v>3599</v>
      </c>
      <c r="F54" s="0" t="s">
        <v>3504</v>
      </c>
      <c r="G54" s="0" t="s">
        <v>2010</v>
      </c>
    </row>
    <row customHeight="1" ht="11.25">
      <c r="A55" s="377" t="s">
        <v>16</v>
      </c>
      <c r="B55" s="0" t="s">
        <v>3600</v>
      </c>
      <c r="C55" s="0" t="s">
        <v>3601</v>
      </c>
      <c r="D55" s="0" t="s">
        <v>3600</v>
      </c>
      <c r="E55" s="0" t="s">
        <v>3601</v>
      </c>
      <c r="F55" s="0" t="s">
        <v>3504</v>
      </c>
      <c r="G55" s="0" t="s">
        <v>2015</v>
      </c>
    </row>
    <row customHeight="1" ht="11.25">
      <c r="A56" s="377" t="s">
        <v>16</v>
      </c>
      <c r="B56" s="0" t="s">
        <v>3602</v>
      </c>
      <c r="C56" s="0" t="s">
        <v>3603</v>
      </c>
      <c r="D56" s="0" t="s">
        <v>3602</v>
      </c>
      <c r="E56" s="0" t="s">
        <v>3603</v>
      </c>
      <c r="F56" s="0" t="s">
        <v>3507</v>
      </c>
      <c r="G56" s="0" t="s">
        <v>2019</v>
      </c>
    </row>
    <row customHeight="1" ht="11.25">
      <c r="A57" s="377" t="s">
        <v>16</v>
      </c>
      <c r="B57" s="0" t="s">
        <v>3604</v>
      </c>
      <c r="C57" s="0" t="s">
        <v>3605</v>
      </c>
      <c r="D57" s="0" t="s">
        <v>3604</v>
      </c>
      <c r="E57" s="0" t="s">
        <v>3605</v>
      </c>
      <c r="F57" s="0" t="s">
        <v>3504</v>
      </c>
      <c r="G57" s="0" t="s">
        <v>2023</v>
      </c>
    </row>
    <row customHeight="1" ht="11.25">
      <c r="A58" s="377" t="s">
        <v>16</v>
      </c>
      <c r="B58" s="0" t="s">
        <v>3606</v>
      </c>
      <c r="C58" s="0" t="s">
        <v>3607</v>
      </c>
      <c r="D58" s="0" t="s">
        <v>3608</v>
      </c>
      <c r="E58" s="0" t="s">
        <v>3609</v>
      </c>
      <c r="F58" s="0" t="s">
        <v>3516</v>
      </c>
      <c r="G58" s="0" t="s">
        <v>2026</v>
      </c>
    </row>
    <row customHeight="1" ht="11.25">
      <c r="A59" s="377" t="s">
        <v>16</v>
      </c>
      <c r="B59" s="0" t="s">
        <v>3606</v>
      </c>
      <c r="C59" s="0" t="s">
        <v>3607</v>
      </c>
      <c r="D59" s="0" t="s">
        <v>3610</v>
      </c>
      <c r="E59" s="0" t="s">
        <v>3611</v>
      </c>
      <c r="F59" s="0" t="s">
        <v>3516</v>
      </c>
      <c r="G59" s="0" t="s">
        <v>2030</v>
      </c>
    </row>
    <row customHeight="1" ht="11.25">
      <c r="A60" s="377" t="s">
        <v>16</v>
      </c>
      <c r="B60" s="0" t="s">
        <v>3606</v>
      </c>
      <c r="C60" s="0" t="s">
        <v>3607</v>
      </c>
      <c r="D60" s="0" t="s">
        <v>3612</v>
      </c>
      <c r="E60" s="0" t="s">
        <v>3613</v>
      </c>
      <c r="F60" s="0" t="s">
        <v>3516</v>
      </c>
      <c r="G60" s="0" t="s">
        <v>2033</v>
      </c>
    </row>
    <row customHeight="1" ht="11.25">
      <c r="A61" s="377" t="s">
        <v>16</v>
      </c>
      <c r="B61" s="0" t="s">
        <v>3606</v>
      </c>
      <c r="C61" s="0" t="s">
        <v>3607</v>
      </c>
      <c r="D61" s="0" t="s">
        <v>3614</v>
      </c>
      <c r="E61" s="0" t="s">
        <v>3615</v>
      </c>
      <c r="F61" s="0" t="s">
        <v>3522</v>
      </c>
      <c r="G61" s="0" t="s">
        <v>3616</v>
      </c>
    </row>
    <row customHeight="1" ht="11.25">
      <c r="A62" s="377" t="s">
        <v>16</v>
      </c>
      <c r="B62" s="0" t="s">
        <v>3606</v>
      </c>
      <c r="C62" s="0" t="s">
        <v>3607</v>
      </c>
      <c r="D62" s="0" t="s">
        <v>3617</v>
      </c>
      <c r="E62" s="0" t="s">
        <v>3618</v>
      </c>
      <c r="F62" s="0" t="s">
        <v>3516</v>
      </c>
      <c r="G62" s="0" t="s">
        <v>3619</v>
      </c>
    </row>
    <row customHeight="1" ht="11.25">
      <c r="A63" s="377" t="s">
        <v>16</v>
      </c>
      <c r="B63" s="0" t="s">
        <v>3606</v>
      </c>
      <c r="C63" s="0" t="s">
        <v>3607</v>
      </c>
      <c r="D63" s="0" t="s">
        <v>3620</v>
      </c>
      <c r="E63" s="0" t="s">
        <v>3621</v>
      </c>
      <c r="F63" s="0" t="s">
        <v>3516</v>
      </c>
      <c r="G63" s="0" t="s">
        <v>3622</v>
      </c>
    </row>
    <row customHeight="1" ht="11.25">
      <c r="A64" s="377" t="s">
        <v>16</v>
      </c>
      <c r="B64" s="0" t="s">
        <v>3606</v>
      </c>
      <c r="C64" s="0" t="s">
        <v>3607</v>
      </c>
      <c r="D64" s="0" t="s">
        <v>3606</v>
      </c>
      <c r="E64" s="0" t="s">
        <v>3607</v>
      </c>
      <c r="F64" s="0" t="s">
        <v>3517</v>
      </c>
      <c r="G64" s="0" t="s">
        <v>3623</v>
      </c>
    </row>
    <row customHeight="1" ht="11.25">
      <c r="A65" s="377" t="s">
        <v>16</v>
      </c>
      <c r="B65" s="0" t="s">
        <v>3606</v>
      </c>
      <c r="C65" s="0" t="s">
        <v>3607</v>
      </c>
      <c r="D65" s="0" t="s">
        <v>3624</v>
      </c>
      <c r="E65" s="0" t="s">
        <v>3625</v>
      </c>
      <c r="F65" s="0" t="s">
        <v>3516</v>
      </c>
      <c r="G65" s="0" t="s">
        <v>3626</v>
      </c>
    </row>
    <row customHeight="1" ht="11.25">
      <c r="A66" s="377" t="s">
        <v>16</v>
      </c>
      <c r="B66" s="0" t="s">
        <v>3627</v>
      </c>
      <c r="C66" s="0" t="s">
        <v>3628</v>
      </c>
      <c r="D66" s="0" t="s">
        <v>3627</v>
      </c>
      <c r="E66" s="0" t="s">
        <v>3628</v>
      </c>
      <c r="F66" s="0" t="s">
        <v>3504</v>
      </c>
      <c r="G66" s="0" t="s">
        <v>3629</v>
      </c>
    </row>
    <row customHeight="1" ht="11.25">
      <c r="A67" s="377" t="s">
        <v>16</v>
      </c>
      <c r="B67" s="0" t="s">
        <v>3630</v>
      </c>
      <c r="C67" s="0" t="s">
        <v>3631</v>
      </c>
      <c r="D67" s="0" t="s">
        <v>3630</v>
      </c>
      <c r="E67" s="0" t="s">
        <v>3631</v>
      </c>
      <c r="F67" s="0" t="s">
        <v>3504</v>
      </c>
      <c r="G67" s="0" t="s">
        <v>2346</v>
      </c>
    </row>
    <row customHeight="1" ht="11.25">
      <c r="A68" s="377" t="s">
        <v>16</v>
      </c>
      <c r="B68" s="0" t="s">
        <v>153</v>
      </c>
      <c r="C68" s="0" t="s">
        <v>154</v>
      </c>
      <c r="D68" s="0" t="s">
        <v>3632</v>
      </c>
      <c r="E68" s="0" t="s">
        <v>3633</v>
      </c>
      <c r="F68" s="0" t="s">
        <v>3516</v>
      </c>
      <c r="G68" s="0" t="s">
        <v>3634</v>
      </c>
    </row>
    <row customHeight="1" ht="11.25">
      <c r="A69" s="377" t="s">
        <v>16</v>
      </c>
      <c r="B69" s="0" t="s">
        <v>153</v>
      </c>
      <c r="C69" s="0" t="s">
        <v>154</v>
      </c>
      <c r="D69" s="0" t="s">
        <v>3635</v>
      </c>
      <c r="E69" s="0" t="s">
        <v>3636</v>
      </c>
      <c r="F69" s="0" t="s">
        <v>3516</v>
      </c>
      <c r="G69" s="0" t="s">
        <v>2546</v>
      </c>
    </row>
    <row customHeight="1" ht="11.25">
      <c r="A70" s="377" t="s">
        <v>16</v>
      </c>
      <c r="B70" s="0" t="s">
        <v>153</v>
      </c>
      <c r="C70" s="0" t="s">
        <v>154</v>
      </c>
      <c r="D70" s="0" t="s">
        <v>3637</v>
      </c>
      <c r="E70" s="0" t="s">
        <v>3638</v>
      </c>
      <c r="F70" s="0" t="s">
        <v>3516</v>
      </c>
      <c r="G70" s="0" t="s">
        <v>3639</v>
      </c>
    </row>
    <row customHeight="1" ht="11.25">
      <c r="A71" s="377" t="s">
        <v>16</v>
      </c>
      <c r="B71" s="0" t="s">
        <v>153</v>
      </c>
      <c r="C71" s="0" t="s">
        <v>154</v>
      </c>
      <c r="D71" s="0" t="s">
        <v>3640</v>
      </c>
      <c r="E71" s="0" t="s">
        <v>3641</v>
      </c>
      <c r="F71" s="0" t="s">
        <v>3516</v>
      </c>
      <c r="G71" s="0" t="s">
        <v>3642</v>
      </c>
    </row>
    <row customHeight="1" ht="11.25">
      <c r="A72" s="377" t="s">
        <v>16</v>
      </c>
      <c r="B72" s="0" t="s">
        <v>153</v>
      </c>
      <c r="C72" s="0" t="s">
        <v>154</v>
      </c>
      <c r="D72" s="0" t="s">
        <v>3643</v>
      </c>
      <c r="E72" s="0" t="s">
        <v>3644</v>
      </c>
      <c r="F72" s="0" t="s">
        <v>3516</v>
      </c>
      <c r="G72" s="0" t="s">
        <v>3645</v>
      </c>
    </row>
    <row customHeight="1" ht="11.25">
      <c r="A73" s="377" t="s">
        <v>16</v>
      </c>
      <c r="B73" s="0" t="s">
        <v>153</v>
      </c>
      <c r="C73" s="0" t="s">
        <v>154</v>
      </c>
      <c r="D73" s="0" t="s">
        <v>153</v>
      </c>
      <c r="E73" s="0" t="s">
        <v>154</v>
      </c>
      <c r="F73" s="0" t="s">
        <v>3517</v>
      </c>
      <c r="G73" s="0" t="s">
        <v>152</v>
      </c>
    </row>
    <row customHeight="1" ht="11.25">
      <c r="A74" s="377" t="s">
        <v>16</v>
      </c>
      <c r="B74" s="0" t="s">
        <v>153</v>
      </c>
      <c r="C74" s="0" t="s">
        <v>154</v>
      </c>
      <c r="D74" s="0" t="s">
        <v>3646</v>
      </c>
      <c r="E74" s="0" t="s">
        <v>3647</v>
      </c>
      <c r="F74" s="0" t="s">
        <v>3516</v>
      </c>
      <c r="G74" s="0" t="s">
        <v>3648</v>
      </c>
    </row>
    <row customHeight="1" ht="11.25">
      <c r="A75" s="377" t="s">
        <v>16</v>
      </c>
      <c r="B75" s="0" t="s">
        <v>153</v>
      </c>
      <c r="C75" s="0" t="s">
        <v>154</v>
      </c>
      <c r="D75" s="0" t="s">
        <v>3649</v>
      </c>
      <c r="E75" s="0" t="s">
        <v>3650</v>
      </c>
      <c r="F75" s="0" t="s">
        <v>3516</v>
      </c>
      <c r="G75" s="0" t="s">
        <v>3651</v>
      </c>
    </row>
    <row customHeight="1" ht="11.25">
      <c r="A76" s="377" t="s">
        <v>16</v>
      </c>
      <c r="B76" s="0" t="s">
        <v>153</v>
      </c>
      <c r="C76" s="0" t="s">
        <v>154</v>
      </c>
      <c r="D76" s="0" t="s">
        <v>3652</v>
      </c>
      <c r="E76" s="0" t="s">
        <v>3653</v>
      </c>
      <c r="F76" s="0" t="s">
        <v>3516</v>
      </c>
      <c r="G76" s="0" t="s">
        <v>3654</v>
      </c>
    </row>
    <row customHeight="1" ht="11.25">
      <c r="A77" s="377" t="s">
        <v>16</v>
      </c>
      <c r="B77" s="0" t="s">
        <v>3655</v>
      </c>
      <c r="C77" s="0" t="s">
        <v>3656</v>
      </c>
      <c r="D77" s="0" t="s">
        <v>3655</v>
      </c>
      <c r="E77" s="0" t="s">
        <v>3656</v>
      </c>
      <c r="F77" s="0" t="s">
        <v>3504</v>
      </c>
      <c r="G77" s="0" t="s">
        <v>3657</v>
      </c>
    </row>
    <row customHeight="1" ht="11.25">
      <c r="A78" s="377" t="s">
        <v>16</v>
      </c>
      <c r="B78" s="0" t="s">
        <v>3658</v>
      </c>
      <c r="C78" s="0" t="s">
        <v>3659</v>
      </c>
      <c r="D78" s="0" t="s">
        <v>3658</v>
      </c>
      <c r="E78" s="0" t="s">
        <v>3659</v>
      </c>
      <c r="F78" s="0" t="s">
        <v>3507</v>
      </c>
      <c r="G78" s="0" t="s">
        <v>3660</v>
      </c>
    </row>
    <row customHeight="1" ht="11.25">
      <c r="A79" s="377" t="s">
        <v>16</v>
      </c>
      <c r="B79" s="0" t="s">
        <v>3661</v>
      </c>
      <c r="C79" s="0" t="s">
        <v>3662</v>
      </c>
      <c r="D79" s="0" t="s">
        <v>3661</v>
      </c>
      <c r="E79" s="0" t="s">
        <v>3662</v>
      </c>
      <c r="F79" s="0" t="s">
        <v>3504</v>
      </c>
      <c r="G79" s="0" t="s">
        <v>3663</v>
      </c>
    </row>
    <row customHeight="1" ht="11.25">
      <c r="A80" s="377" t="s">
        <v>16</v>
      </c>
      <c r="B80" s="0" t="s">
        <v>99</v>
      </c>
      <c r="C80" s="0" t="s">
        <v>100</v>
      </c>
      <c r="D80" s="0" t="s">
        <v>99</v>
      </c>
      <c r="E80" s="0" t="s">
        <v>100</v>
      </c>
      <c r="F80" s="0" t="s">
        <v>3504</v>
      </c>
      <c r="G80" s="0" t="s">
        <v>98</v>
      </c>
    </row>
    <row customHeight="1" ht="11.25">
      <c r="A81" s="377" t="s">
        <v>16</v>
      </c>
      <c r="B81" s="0" t="s">
        <v>3664</v>
      </c>
      <c r="C81" s="0" t="s">
        <v>3665</v>
      </c>
      <c r="D81" s="0" t="s">
        <v>3664</v>
      </c>
      <c r="E81" s="0" t="s">
        <v>3665</v>
      </c>
      <c r="F81" s="0" t="s">
        <v>3504</v>
      </c>
      <c r="G81" s="0" t="s">
        <v>3666</v>
      </c>
    </row>
    <row customHeight="1" ht="11.25">
      <c r="A82" s="377" t="s">
        <v>16</v>
      </c>
      <c r="B82" s="0" t="s">
        <v>136</v>
      </c>
      <c r="C82" s="0" t="s">
        <v>137</v>
      </c>
      <c r="D82" s="0" t="s">
        <v>136</v>
      </c>
      <c r="E82" s="0" t="s">
        <v>137</v>
      </c>
      <c r="F82" s="0" t="s">
        <v>3504</v>
      </c>
      <c r="G82" s="0" t="s">
        <v>135</v>
      </c>
    </row>
    <row customHeight="1" ht="11.25">
      <c r="A83" s="377" t="s">
        <v>16</v>
      </c>
      <c r="B83" s="0" t="s">
        <v>139</v>
      </c>
      <c r="C83" s="0" t="s">
        <v>3667</v>
      </c>
      <c r="D83" s="0" t="s">
        <v>140</v>
      </c>
      <c r="E83" s="0" t="s">
        <v>141</v>
      </c>
      <c r="F83" s="0" t="s">
        <v>3516</v>
      </c>
      <c r="G83" s="0" t="s">
        <v>138</v>
      </c>
    </row>
    <row customHeight="1" ht="11.25">
      <c r="A84" s="377" t="s">
        <v>16</v>
      </c>
      <c r="B84" s="0" t="s">
        <v>139</v>
      </c>
      <c r="C84" s="0" t="s">
        <v>3667</v>
      </c>
      <c r="D84" s="0" t="s">
        <v>3668</v>
      </c>
      <c r="E84" s="0" t="s">
        <v>3669</v>
      </c>
      <c r="F84" s="0" t="s">
        <v>3522</v>
      </c>
      <c r="G84" s="0" t="s">
        <v>3670</v>
      </c>
    </row>
    <row customHeight="1" ht="11.25">
      <c r="A85" s="377" t="s">
        <v>16</v>
      </c>
      <c r="B85" s="0" t="s">
        <v>139</v>
      </c>
      <c r="C85" s="0" t="s">
        <v>3667</v>
      </c>
      <c r="D85" s="0" t="s">
        <v>143</v>
      </c>
      <c r="E85" s="0" t="s">
        <v>144</v>
      </c>
      <c r="F85" s="0" t="s">
        <v>3516</v>
      </c>
      <c r="G85" s="0" t="s">
        <v>142</v>
      </c>
    </row>
    <row customHeight="1" ht="11.25">
      <c r="A86" s="377" t="s">
        <v>16</v>
      </c>
      <c r="B86" s="0" t="s">
        <v>139</v>
      </c>
      <c r="C86" s="0" t="s">
        <v>3667</v>
      </c>
      <c r="D86" s="0" t="s">
        <v>3671</v>
      </c>
      <c r="E86" s="0" t="s">
        <v>3672</v>
      </c>
      <c r="F86" s="0" t="s">
        <v>3537</v>
      </c>
      <c r="G86" s="0" t="s">
        <v>3673</v>
      </c>
    </row>
    <row customHeight="1" ht="11.25">
      <c r="A87" s="377" t="s">
        <v>16</v>
      </c>
      <c r="B87" s="0" t="s">
        <v>139</v>
      </c>
      <c r="C87" s="0" t="s">
        <v>3667</v>
      </c>
      <c r="D87" s="0" t="s">
        <v>146</v>
      </c>
      <c r="E87" s="0" t="s">
        <v>147</v>
      </c>
      <c r="F87" s="0" t="s">
        <v>3516</v>
      </c>
      <c r="G87" s="0" t="s">
        <v>145</v>
      </c>
    </row>
    <row customHeight="1" ht="11.25">
      <c r="A88" s="377" t="s">
        <v>16</v>
      </c>
      <c r="B88" s="0" t="s">
        <v>139</v>
      </c>
      <c r="C88" s="0" t="s">
        <v>3667</v>
      </c>
      <c r="D88" s="0" t="s">
        <v>139</v>
      </c>
      <c r="E88" s="0" t="s">
        <v>3667</v>
      </c>
      <c r="F88" s="0" t="s">
        <v>3517</v>
      </c>
      <c r="G88" s="0" t="s">
        <v>3674</v>
      </c>
    </row>
    <row customHeight="1" ht="11.25">
      <c r="A89" s="377" t="s">
        <v>16</v>
      </c>
      <c r="B89" s="0" t="s">
        <v>139</v>
      </c>
      <c r="C89" s="0" t="s">
        <v>3667</v>
      </c>
      <c r="D89" s="0" t="s">
        <v>3675</v>
      </c>
      <c r="E89" s="0" t="s">
        <v>3676</v>
      </c>
      <c r="F89" s="0" t="s">
        <v>3516</v>
      </c>
      <c r="G89" s="0" t="s">
        <v>3677</v>
      </c>
    </row>
    <row customHeight="1" ht="11.25">
      <c r="A90" s="377" t="s">
        <v>16</v>
      </c>
      <c r="B90" s="0" t="s">
        <v>3678</v>
      </c>
      <c r="C90" s="0" t="s">
        <v>3679</v>
      </c>
      <c r="D90" s="0" t="s">
        <v>3678</v>
      </c>
      <c r="E90" s="0" t="s">
        <v>3679</v>
      </c>
      <c r="F90" s="0" t="s">
        <v>3504</v>
      </c>
      <c r="G90" s="0" t="s">
        <v>3680</v>
      </c>
    </row>
    <row customHeight="1" ht="11.25">
      <c r="A91" s="377" t="s">
        <v>16</v>
      </c>
      <c r="B91" s="0" t="s">
        <v>1306</v>
      </c>
      <c r="C91" s="0" t="s">
        <v>1307</v>
      </c>
      <c r="D91" s="0" t="s">
        <v>1306</v>
      </c>
      <c r="E91" s="0" t="s">
        <v>1307</v>
      </c>
      <c r="F91" s="0" t="s">
        <v>3504</v>
      </c>
      <c r="G91" s="0" t="s">
        <v>3681</v>
      </c>
    </row>
    <row customHeight="1" ht="11.25">
      <c r="A92" s="377" t="s">
        <v>16</v>
      </c>
      <c r="B92" s="0" t="s">
        <v>110</v>
      </c>
      <c r="C92" s="0" t="s">
        <v>3682</v>
      </c>
      <c r="D92" s="0" t="s">
        <v>3683</v>
      </c>
      <c r="E92" s="0" t="s">
        <v>3684</v>
      </c>
      <c r="F92" s="0" t="s">
        <v>3516</v>
      </c>
      <c r="G92" s="0" t="s">
        <v>3685</v>
      </c>
    </row>
    <row customHeight="1" ht="11.25">
      <c r="A93" s="377" t="s">
        <v>16</v>
      </c>
      <c r="B93" s="0" t="s">
        <v>110</v>
      </c>
      <c r="C93" s="0" t="s">
        <v>3682</v>
      </c>
      <c r="D93" s="0" t="s">
        <v>3686</v>
      </c>
      <c r="E93" s="0" t="s">
        <v>3687</v>
      </c>
      <c r="F93" s="0" t="s">
        <v>3516</v>
      </c>
      <c r="G93" s="0" t="s">
        <v>3688</v>
      </c>
    </row>
    <row customHeight="1" ht="11.25">
      <c r="A94" s="377" t="s">
        <v>16</v>
      </c>
      <c r="B94" s="0" t="s">
        <v>110</v>
      </c>
      <c r="C94" s="0" t="s">
        <v>3682</v>
      </c>
      <c r="D94" s="0" t="s">
        <v>111</v>
      </c>
      <c r="E94" s="0" t="s">
        <v>112</v>
      </c>
      <c r="F94" s="0" t="s">
        <v>3516</v>
      </c>
      <c r="G94" s="0" t="s">
        <v>109</v>
      </c>
    </row>
    <row customHeight="1" ht="11.25">
      <c r="A95" s="377" t="s">
        <v>16</v>
      </c>
      <c r="B95" s="0" t="s">
        <v>110</v>
      </c>
      <c r="C95" s="0" t="s">
        <v>3682</v>
      </c>
      <c r="D95" s="0" t="s">
        <v>3689</v>
      </c>
      <c r="E95" s="0" t="s">
        <v>3690</v>
      </c>
      <c r="F95" s="0" t="s">
        <v>3537</v>
      </c>
      <c r="G95" s="0" t="s">
        <v>3691</v>
      </c>
    </row>
    <row customHeight="1" ht="11.25">
      <c r="A96" s="377" t="s">
        <v>16</v>
      </c>
      <c r="B96" s="0" t="s">
        <v>110</v>
      </c>
      <c r="C96" s="0" t="s">
        <v>3682</v>
      </c>
      <c r="D96" s="0" t="s">
        <v>3692</v>
      </c>
      <c r="E96" s="0" t="s">
        <v>3693</v>
      </c>
      <c r="F96" s="0" t="s">
        <v>3516</v>
      </c>
      <c r="G96" s="0" t="s">
        <v>3694</v>
      </c>
    </row>
    <row customHeight="1" ht="11.25">
      <c r="A97" s="377" t="s">
        <v>16</v>
      </c>
      <c r="B97" s="0" t="s">
        <v>110</v>
      </c>
      <c r="C97" s="0" t="s">
        <v>3682</v>
      </c>
      <c r="D97" s="0" t="s">
        <v>110</v>
      </c>
      <c r="E97" s="0" t="s">
        <v>3682</v>
      </c>
      <c r="F97" s="0" t="s">
        <v>3517</v>
      </c>
      <c r="G97" s="0" t="s">
        <v>3695</v>
      </c>
    </row>
    <row customHeight="1" ht="11.25">
      <c r="A98" s="377" t="s">
        <v>16</v>
      </c>
      <c r="B98" s="0" t="s">
        <v>110</v>
      </c>
      <c r="C98" s="0" t="s">
        <v>3682</v>
      </c>
      <c r="D98" s="0" t="s">
        <v>3696</v>
      </c>
      <c r="E98" s="0" t="s">
        <v>3697</v>
      </c>
      <c r="F98" s="0" t="s">
        <v>3537</v>
      </c>
      <c r="G98" s="0" t="s">
        <v>3698</v>
      </c>
    </row>
    <row customHeight="1" ht="11.25">
      <c r="A99" s="377" t="s">
        <v>16</v>
      </c>
      <c r="B99" s="0" t="s">
        <v>110</v>
      </c>
      <c r="C99" s="0" t="s">
        <v>3682</v>
      </c>
      <c r="D99" s="0" t="s">
        <v>114</v>
      </c>
      <c r="E99" s="0" t="s">
        <v>115</v>
      </c>
      <c r="F99" s="0" t="s">
        <v>3516</v>
      </c>
      <c r="G99" s="0" t="s">
        <v>113</v>
      </c>
    </row>
    <row customHeight="1" ht="11.25">
      <c r="A100" s="377" t="s">
        <v>16</v>
      </c>
      <c r="B100" s="0" t="s">
        <v>3699</v>
      </c>
      <c r="C100" s="0" t="s">
        <v>3700</v>
      </c>
      <c r="D100" s="0" t="s">
        <v>3699</v>
      </c>
      <c r="E100" s="0" t="s">
        <v>3700</v>
      </c>
      <c r="F100" s="0" t="s">
        <v>3504</v>
      </c>
      <c r="G100" s="0" t="s">
        <v>3701</v>
      </c>
    </row>
    <row customHeight="1" ht="11.25">
      <c r="A101" s="377" t="s">
        <v>16</v>
      </c>
      <c r="B101" s="0" t="s">
        <v>168</v>
      </c>
      <c r="C101" s="0" t="s">
        <v>3702</v>
      </c>
      <c r="D101" s="0" t="s">
        <v>169</v>
      </c>
      <c r="E101" s="0" t="s">
        <v>170</v>
      </c>
      <c r="F101" s="0" t="s">
        <v>3516</v>
      </c>
      <c r="G101" s="0" t="s">
        <v>167</v>
      </c>
    </row>
    <row customHeight="1" ht="11.25">
      <c r="A102" s="377" t="s">
        <v>16</v>
      </c>
      <c r="B102" s="0" t="s">
        <v>168</v>
      </c>
      <c r="C102" s="0" t="s">
        <v>3702</v>
      </c>
      <c r="D102" s="0" t="s">
        <v>3703</v>
      </c>
      <c r="E102" s="0" t="s">
        <v>3704</v>
      </c>
      <c r="F102" s="0" t="s">
        <v>3516</v>
      </c>
      <c r="G102" s="0" t="s">
        <v>3705</v>
      </c>
    </row>
    <row customHeight="1" ht="11.25">
      <c r="A103" s="377" t="s">
        <v>16</v>
      </c>
      <c r="B103" s="0" t="s">
        <v>168</v>
      </c>
      <c r="C103" s="0" t="s">
        <v>3702</v>
      </c>
      <c r="D103" s="0" t="s">
        <v>3706</v>
      </c>
      <c r="E103" s="0" t="s">
        <v>3707</v>
      </c>
      <c r="F103" s="0" t="s">
        <v>3516</v>
      </c>
      <c r="G103" s="0" t="s">
        <v>3708</v>
      </c>
    </row>
    <row customHeight="1" ht="11.25">
      <c r="A104" s="377" t="s">
        <v>16</v>
      </c>
      <c r="B104" s="0" t="s">
        <v>168</v>
      </c>
      <c r="C104" s="0" t="s">
        <v>3702</v>
      </c>
      <c r="D104" s="0" t="s">
        <v>3709</v>
      </c>
      <c r="E104" s="0" t="s">
        <v>3710</v>
      </c>
      <c r="F104" s="0" t="s">
        <v>3516</v>
      </c>
      <c r="G104" s="0" t="s">
        <v>3711</v>
      </c>
    </row>
    <row customHeight="1" ht="11.25">
      <c r="A105" s="377" t="s">
        <v>16</v>
      </c>
      <c r="B105" s="0" t="s">
        <v>168</v>
      </c>
      <c r="C105" s="0" t="s">
        <v>3702</v>
      </c>
      <c r="D105" s="0" t="s">
        <v>168</v>
      </c>
      <c r="E105" s="0" t="s">
        <v>3702</v>
      </c>
      <c r="F105" s="0" t="s">
        <v>3517</v>
      </c>
      <c r="G105" s="0" t="s">
        <v>3712</v>
      </c>
    </row>
    <row customHeight="1" ht="11.25">
      <c r="A106" s="377" t="s">
        <v>16</v>
      </c>
      <c r="B106" s="0" t="s">
        <v>168</v>
      </c>
      <c r="C106" s="0" t="s">
        <v>3702</v>
      </c>
      <c r="D106" s="0" t="s">
        <v>3713</v>
      </c>
      <c r="E106" s="0" t="s">
        <v>3714</v>
      </c>
      <c r="F106" s="0" t="s">
        <v>3516</v>
      </c>
      <c r="G106" s="0" t="s">
        <v>3715</v>
      </c>
    </row>
    <row customHeight="1" ht="11.25">
      <c r="A107" s="377" t="s">
        <v>16</v>
      </c>
      <c r="B107" s="0" t="s">
        <v>3716</v>
      </c>
      <c r="C107" s="0" t="s">
        <v>3717</v>
      </c>
      <c r="D107" s="0" t="s">
        <v>3716</v>
      </c>
      <c r="E107" s="0" t="s">
        <v>3717</v>
      </c>
      <c r="F107" s="0" t="s">
        <v>3507</v>
      </c>
      <c r="G107" s="0" t="s">
        <v>3718</v>
      </c>
    </row>
    <row customHeight="1" ht="11.25">
      <c r="A108" s="377" t="s">
        <v>16</v>
      </c>
      <c r="B108" s="0" t="s">
        <v>118</v>
      </c>
      <c r="C108" s="0" t="s">
        <v>119</v>
      </c>
      <c r="D108" s="0" t="s">
        <v>118</v>
      </c>
      <c r="E108" s="0" t="s">
        <v>119</v>
      </c>
      <c r="F108" s="0" t="s">
        <v>3507</v>
      </c>
      <c r="G108" s="0" t="s">
        <v>117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2E898-3548-C6A7-5359-4F006CB468F4}"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3719</v>
      </c>
      <c r="B1" s="839" t="s">
        <v>3720</v>
      </c>
      <c r="C1" s="1163" t="s">
        <v>3721</v>
      </c>
      <c r="D1" s="839" t="s">
        <v>3722</v>
      </c>
      <c r="E1" s="839" t="s">
        <v>3723</v>
      </c>
      <c r="F1" s="1163" t="s">
        <v>3724</v>
      </c>
      <c r="G1" s="1163" t="s">
        <v>3725</v>
      </c>
      <c r="H1" s="1163" t="s">
        <v>3726</v>
      </c>
      <c r="I1" s="1163" t="s">
        <v>3727</v>
      </c>
    </row>
    <row customHeight="1" ht="11.25">
      <c r="A2" s="1694" t="s">
        <v>105</v>
      </c>
      <c r="B2" s="1694" t="s">
        <v>1261</v>
      </c>
      <c r="C2" s="1694" t="s">
        <v>3728</v>
      </c>
      <c r="D2" s="1694" t="s">
        <v>1263</v>
      </c>
      <c r="E2" s="1694" t="s">
        <v>1203</v>
      </c>
      <c r="F2" s="1694" t="s">
        <v>1264</v>
      </c>
      <c r="G2" s="1694" t="s">
        <v>1192</v>
      </c>
      <c r="H2" s="1694" t="s">
        <v>1265</v>
      </c>
      <c r="I2" s="1694" t="s">
        <v>1266</v>
      </c>
    </row>
    <row customHeight="1" ht="11.25">
      <c r="A3" s="1694" t="s">
        <v>102</v>
      </c>
      <c r="B3" s="1694" t="s">
        <v>1261</v>
      </c>
      <c r="C3" s="1694" t="s">
        <v>3728</v>
      </c>
      <c r="D3" s="1694" t="s">
        <v>1263</v>
      </c>
      <c r="E3" s="1694" t="s">
        <v>1203</v>
      </c>
      <c r="F3" s="1694" t="s">
        <v>3729</v>
      </c>
      <c r="G3" s="1694" t="s">
        <v>1192</v>
      </c>
      <c r="H3" s="1694" t="s">
        <v>3730</v>
      </c>
      <c r="I3" s="1694" t="s">
        <v>3731</v>
      </c>
    </row>
    <row customHeight="1" ht="11.25">
      <c r="A4" s="1694" t="s">
        <v>89</v>
      </c>
      <c r="B4" s="1694" t="s">
        <v>3732</v>
      </c>
      <c r="C4" s="1694" t="s">
        <v>3733</v>
      </c>
      <c r="D4" s="1694" t="s">
        <v>1263</v>
      </c>
      <c r="E4" s="1694" t="s">
        <v>3734</v>
      </c>
      <c r="F4" s="1694" t="s">
        <v>3735</v>
      </c>
      <c r="G4" s="1694" t="s">
        <v>1192</v>
      </c>
      <c r="H4" s="1694" t="s">
        <v>3736</v>
      </c>
      <c r="I4" s="1694" t="s">
        <v>3731</v>
      </c>
    </row>
    <row customHeight="1" ht="11.25">
      <c r="A5" s="1694" t="s">
        <v>90</v>
      </c>
      <c r="B5" s="1694" t="s">
        <v>3737</v>
      </c>
      <c r="C5" s="1694" t="s">
        <v>3738</v>
      </c>
      <c r="D5" s="1694" t="s">
        <v>1189</v>
      </c>
      <c r="E5" s="1694" t="s">
        <v>1241</v>
      </c>
      <c r="F5" s="1694" t="s">
        <v>3739</v>
      </c>
      <c r="G5" s="1694" t="s">
        <v>1192</v>
      </c>
      <c r="H5" s="1694" t="s">
        <v>3740</v>
      </c>
      <c r="I5" s="1694" t="s">
        <v>1194</v>
      </c>
    </row>
    <row customHeight="1" ht="11.25">
      <c r="A6" s="1694" t="s">
        <v>120</v>
      </c>
      <c r="B6" s="1694" t="s">
        <v>3737</v>
      </c>
      <c r="C6" s="1694" t="s">
        <v>3738</v>
      </c>
      <c r="D6" s="1694" t="s">
        <v>1189</v>
      </c>
      <c r="E6" s="1694" t="s">
        <v>1241</v>
      </c>
      <c r="F6" s="1694" t="s">
        <v>1257</v>
      </c>
      <c r="G6" s="1694" t="s">
        <v>1192</v>
      </c>
      <c r="H6" s="1694" t="s">
        <v>3740</v>
      </c>
      <c r="I6" s="1694" t="s">
        <v>3741</v>
      </c>
    </row>
    <row customHeight="1" ht="11.25">
      <c r="A7" s="1694" t="s">
        <v>91</v>
      </c>
      <c r="B7" s="1694" t="s">
        <v>1185</v>
      </c>
      <c r="C7" s="1694" t="s">
        <v>3742</v>
      </c>
      <c r="D7" s="1694" t="s">
        <v>1189</v>
      </c>
      <c r="E7" s="1694" t="s">
        <v>1190</v>
      </c>
      <c r="F7" s="1694" t="s">
        <v>1191</v>
      </c>
      <c r="G7" s="1694" t="s">
        <v>1192</v>
      </c>
      <c r="H7" s="1694" t="s">
        <v>1193</v>
      </c>
      <c r="I7" s="1694" t="s">
        <v>1194</v>
      </c>
    </row>
    <row customHeight="1" ht="11.25">
      <c r="A8" s="1694" t="s">
        <v>92</v>
      </c>
      <c r="B8" s="1694" t="s">
        <v>1254</v>
      </c>
      <c r="C8" s="1694" t="s">
        <v>3743</v>
      </c>
      <c r="D8" s="1694" t="s">
        <v>1256</v>
      </c>
      <c r="E8" s="1694" t="s">
        <v>1203</v>
      </c>
      <c r="F8" s="1694" t="s">
        <v>1257</v>
      </c>
      <c r="G8" s="1694" t="s">
        <v>1192</v>
      </c>
      <c r="H8" s="1694" t="s">
        <v>1258</v>
      </c>
      <c r="I8" s="1694" t="s">
        <v>1259</v>
      </c>
    </row>
    <row customHeight="1" ht="11.25">
      <c r="A9" s="1694" t="s">
        <v>133</v>
      </c>
      <c r="B9" s="1694" t="s">
        <v>1254</v>
      </c>
      <c r="C9" s="1694" t="s">
        <v>3743</v>
      </c>
      <c r="D9" s="1694" t="s">
        <v>1256</v>
      </c>
      <c r="E9" s="1694" t="s">
        <v>1203</v>
      </c>
      <c r="F9" s="1694" t="s">
        <v>1257</v>
      </c>
      <c r="G9" s="1694" t="s">
        <v>1192</v>
      </c>
      <c r="H9" s="1694" t="s">
        <v>3744</v>
      </c>
      <c r="I9" s="1694" t="s">
        <v>1259</v>
      </c>
    </row>
    <row customHeight="1" ht="11.25">
      <c r="A10" s="1694" t="s">
        <v>148</v>
      </c>
      <c r="B10" s="1694" t="s">
        <v>1240</v>
      </c>
      <c r="C10" s="1694" t="s">
        <v>3745</v>
      </c>
      <c r="D10" s="1694" t="s">
        <v>1212</v>
      </c>
      <c r="E10" s="1694" t="s">
        <v>1241</v>
      </c>
      <c r="F10" s="1694" t="s">
        <v>3746</v>
      </c>
      <c r="G10" s="1694" t="s">
        <v>1192</v>
      </c>
      <c r="H10" s="1694" t="s">
        <v>1243</v>
      </c>
      <c r="I10" s="1694" t="s">
        <v>1216</v>
      </c>
    </row>
    <row customHeight="1" ht="11.25">
      <c r="A11" s="1694" t="s">
        <v>155</v>
      </c>
      <c r="B11" s="1694" t="s">
        <v>1240</v>
      </c>
      <c r="C11" s="1694" t="s">
        <v>3745</v>
      </c>
      <c r="D11" s="1694" t="s">
        <v>1212</v>
      </c>
      <c r="E11" s="1694" t="s">
        <v>1241</v>
      </c>
      <c r="F11" s="1694" t="s">
        <v>1242</v>
      </c>
      <c r="G11" s="1694" t="s">
        <v>1192</v>
      </c>
      <c r="H11" s="1694" t="s">
        <v>1243</v>
      </c>
      <c r="I11" s="1694" t="s">
        <v>1216</v>
      </c>
    </row>
    <row customHeight="1" ht="11.25">
      <c r="A12" s="1694" t="s">
        <v>161</v>
      </c>
      <c r="B12" s="1694" t="s">
        <v>3747</v>
      </c>
      <c r="C12" s="1694" t="s">
        <v>3748</v>
      </c>
      <c r="D12" s="1694" t="s">
        <v>1202</v>
      </c>
      <c r="E12" s="1694" t="s">
        <v>3734</v>
      </c>
      <c r="F12" s="1694" t="s">
        <v>3749</v>
      </c>
      <c r="G12" s="1694" t="s">
        <v>1192</v>
      </c>
      <c r="H12" s="1694" t="s">
        <v>1205</v>
      </c>
      <c r="I12" s="1694" t="s">
        <v>1206</v>
      </c>
    </row>
    <row customHeight="1" ht="11.25">
      <c r="A13" s="1694" t="s">
        <v>165</v>
      </c>
      <c r="B13" s="1694" t="s">
        <v>1200</v>
      </c>
      <c r="C13" s="1694" t="s">
        <v>3750</v>
      </c>
      <c r="D13" s="1694" t="s">
        <v>1202</v>
      </c>
      <c r="E13" s="1694" t="s">
        <v>1203</v>
      </c>
      <c r="F13" s="1694" t="s">
        <v>3751</v>
      </c>
      <c r="G13" s="1694" t="s">
        <v>1192</v>
      </c>
      <c r="H13" s="1694" t="s">
        <v>3752</v>
      </c>
      <c r="I13" s="1694" t="s">
        <v>1266</v>
      </c>
    </row>
    <row customHeight="1" ht="11.25">
      <c r="A14" s="1694" t="s">
        <v>292</v>
      </c>
      <c r="B14" s="1694" t="s">
        <v>1200</v>
      </c>
      <c r="C14" s="1694" t="s">
        <v>3750</v>
      </c>
      <c r="D14" s="1694" t="s">
        <v>1202</v>
      </c>
      <c r="E14" s="1694" t="s">
        <v>1203</v>
      </c>
      <c r="F14" s="1694" t="s">
        <v>1204</v>
      </c>
      <c r="G14" s="1694" t="s">
        <v>1192</v>
      </c>
      <c r="H14" s="1694" t="s">
        <v>1205</v>
      </c>
      <c r="I14" s="1694" t="s">
        <v>1206</v>
      </c>
    </row>
    <row customHeight="1" ht="11.25">
      <c r="A15" s="1694" t="s">
        <v>293</v>
      </c>
      <c r="B15" s="1694" t="s">
        <v>1210</v>
      </c>
      <c r="C15" s="1694" t="s">
        <v>3753</v>
      </c>
      <c r="D15" s="1694" t="s">
        <v>1212</v>
      </c>
      <c r="E15" s="1694" t="s">
        <v>1213</v>
      </c>
      <c r="F15" s="1694" t="s">
        <v>3754</v>
      </c>
      <c r="G15" s="1694" t="s">
        <v>1192</v>
      </c>
      <c r="H15" s="1694" t="s">
        <v>1215</v>
      </c>
      <c r="I15" s="1694" t="s">
        <v>1216</v>
      </c>
    </row>
    <row customHeight="1" ht="11.25">
      <c r="A16" s="1694" t="s">
        <v>1794</v>
      </c>
      <c r="B16" s="1694" t="s">
        <v>1210</v>
      </c>
      <c r="C16" s="1694" t="s">
        <v>3753</v>
      </c>
      <c r="D16" s="1694" t="s">
        <v>1212</v>
      </c>
      <c r="E16" s="1694" t="s">
        <v>1213</v>
      </c>
      <c r="F16" s="1694" t="s">
        <v>1214</v>
      </c>
      <c r="G16" s="1694" t="s">
        <v>1192</v>
      </c>
      <c r="H16" s="1694" t="s">
        <v>1215</v>
      </c>
      <c r="I16" s="1694" t="s">
        <v>1216</v>
      </c>
    </row>
    <row customHeight="1" ht="11.25">
      <c r="A17" s="1694" t="s">
        <v>130</v>
      </c>
      <c r="B17" s="1694" t="s">
        <v>1220</v>
      </c>
      <c r="C17" s="1694" t="s">
        <v>3755</v>
      </c>
      <c r="D17" s="1694" t="s">
        <v>1212</v>
      </c>
      <c r="E17" s="1694" t="s">
        <v>1190</v>
      </c>
      <c r="F17" s="1694" t="s">
        <v>3756</v>
      </c>
      <c r="G17" s="1694" t="s">
        <v>1192</v>
      </c>
      <c r="H17" s="1694" t="s">
        <v>1222</v>
      </c>
      <c r="I17" s="1694" t="s">
        <v>1216</v>
      </c>
    </row>
    <row customHeight="1" ht="11.25">
      <c r="A18" s="1694" t="s">
        <v>1811</v>
      </c>
      <c r="B18" s="1694" t="s">
        <v>1220</v>
      </c>
      <c r="C18" s="1694" t="s">
        <v>3755</v>
      </c>
      <c r="D18" s="1694" t="s">
        <v>1212</v>
      </c>
      <c r="E18" s="1694" t="s">
        <v>1190</v>
      </c>
      <c r="F18" s="1694" t="s">
        <v>1221</v>
      </c>
      <c r="G18" s="1694" t="s">
        <v>1192</v>
      </c>
      <c r="H18" s="1694" t="s">
        <v>1222</v>
      </c>
      <c r="I18" s="1694" t="s">
        <v>1216</v>
      </c>
    </row>
    <row customHeight="1" ht="11.25">
      <c r="A19" s="1694" t="s">
        <v>1825</v>
      </c>
      <c r="B19" s="1694" t="s">
        <v>1226</v>
      </c>
      <c r="C19" s="1694" t="s">
        <v>3757</v>
      </c>
      <c r="D19" s="1694" t="s">
        <v>1212</v>
      </c>
      <c r="E19" s="1694" t="s">
        <v>1190</v>
      </c>
      <c r="F19" s="1694" t="s">
        <v>3758</v>
      </c>
      <c r="G19" s="1694" t="s">
        <v>1192</v>
      </c>
      <c r="H19" s="1694" t="s">
        <v>3759</v>
      </c>
      <c r="I19" s="1694" t="s">
        <v>3760</v>
      </c>
    </row>
    <row customHeight="1" ht="11.25">
      <c r="A20" s="1694" t="s">
        <v>1837</v>
      </c>
      <c r="B20" s="1694" t="s">
        <v>1226</v>
      </c>
      <c r="C20" s="1694" t="s">
        <v>3757</v>
      </c>
      <c r="D20" s="1694" t="s">
        <v>1212</v>
      </c>
      <c r="E20" s="1694" t="s">
        <v>1190</v>
      </c>
      <c r="F20" s="1694" t="s">
        <v>3761</v>
      </c>
      <c r="G20" s="1694" t="s">
        <v>1192</v>
      </c>
      <c r="H20" s="1694" t="s">
        <v>1229</v>
      </c>
      <c r="I20" s="1694" t="s">
        <v>1216</v>
      </c>
    </row>
    <row customHeight="1" ht="11.25">
      <c r="A21" s="1694" t="s">
        <v>1846</v>
      </c>
      <c r="B21" s="1694" t="s">
        <v>1226</v>
      </c>
      <c r="C21" s="1694" t="s">
        <v>3757</v>
      </c>
      <c r="D21" s="1694" t="s">
        <v>1212</v>
      </c>
      <c r="E21" s="1694" t="s">
        <v>1190</v>
      </c>
      <c r="F21" s="1694" t="s">
        <v>1228</v>
      </c>
      <c r="G21" s="1694" t="s">
        <v>1192</v>
      </c>
      <c r="H21" s="1694" t="s">
        <v>1229</v>
      </c>
      <c r="I21" s="1694" t="s">
        <v>1216</v>
      </c>
    </row>
    <row customHeight="1" ht="11.25">
      <c r="A22" s="1694" t="s">
        <v>1862</v>
      </c>
      <c r="B22" s="1694" t="s">
        <v>1233</v>
      </c>
      <c r="C22" s="1694" t="s">
        <v>3762</v>
      </c>
      <c r="D22" s="1694" t="s">
        <v>1212</v>
      </c>
      <c r="E22" s="1694" t="s">
        <v>1190</v>
      </c>
      <c r="F22" s="1694" t="s">
        <v>3763</v>
      </c>
      <c r="G22" s="1694" t="s">
        <v>1192</v>
      </c>
      <c r="H22" s="1694" t="s">
        <v>1236</v>
      </c>
      <c r="I22" s="1694" t="s">
        <v>1216</v>
      </c>
    </row>
    <row customHeight="1" ht="11.25">
      <c r="A23" s="1694" t="s">
        <v>1869</v>
      </c>
      <c r="B23" s="1694" t="s">
        <v>1233</v>
      </c>
      <c r="C23" s="1694" t="s">
        <v>3762</v>
      </c>
      <c r="D23" s="1694" t="s">
        <v>1212</v>
      </c>
      <c r="E23" s="1694" t="s">
        <v>1190</v>
      </c>
      <c r="F23" s="1694" t="s">
        <v>1235</v>
      </c>
      <c r="G23" s="1694" t="s">
        <v>1192</v>
      </c>
      <c r="H23" s="1694" t="s">
        <v>1236</v>
      </c>
      <c r="I23" s="1694" t="s">
        <v>1216</v>
      </c>
    </row>
    <row customHeight="1" ht="11.25">
      <c r="A24" s="1694" t="s">
        <v>1877</v>
      </c>
      <c r="B24" s="1694" t="s">
        <v>3764</v>
      </c>
      <c r="C24" s="1694" t="s">
        <v>3765</v>
      </c>
      <c r="D24" s="1694" t="s">
        <v>1212</v>
      </c>
      <c r="E24" s="1694" t="s">
        <v>1190</v>
      </c>
      <c r="F24" s="1694" t="s">
        <v>3766</v>
      </c>
      <c r="G24" s="1694" t="s">
        <v>1192</v>
      </c>
      <c r="H24" s="1694" t="s">
        <v>1243</v>
      </c>
      <c r="I24" s="1694" t="s">
        <v>1216</v>
      </c>
    </row>
    <row customHeight="1" ht="11.25">
      <c r="A25" s="1694" t="s">
        <v>1883</v>
      </c>
      <c r="B25" s="1694" t="s">
        <v>1247</v>
      </c>
      <c r="C25" s="1694" t="s">
        <v>3767</v>
      </c>
      <c r="D25" s="1694" t="s">
        <v>1212</v>
      </c>
      <c r="E25" s="1694" t="s">
        <v>1190</v>
      </c>
      <c r="F25" s="1694" t="s">
        <v>1248</v>
      </c>
      <c r="G25" s="1694" t="s">
        <v>1192</v>
      </c>
      <c r="H25" s="1694" t="s">
        <v>1249</v>
      </c>
      <c r="I25" s="1694" t="s">
        <v>1250</v>
      </c>
    </row>
    <row customHeight="1" ht="11.25">
      <c r="A26" s="1694" t="s">
        <v>1887</v>
      </c>
      <c r="B26" s="1694" t="s">
        <v>1247</v>
      </c>
      <c r="C26" s="1694" t="s">
        <v>3767</v>
      </c>
      <c r="D26" s="1694" t="s">
        <v>1212</v>
      </c>
      <c r="E26" s="1694" t="s">
        <v>1190</v>
      </c>
      <c r="F26" s="1694" t="s">
        <v>3768</v>
      </c>
      <c r="G26" s="1694" t="s">
        <v>1192</v>
      </c>
      <c r="H26" s="1694" t="s">
        <v>1249</v>
      </c>
      <c r="I26" s="1694" t="s">
        <v>1216</v>
      </c>
    </row>
    <row customHeight="1" ht="11.25">
      <c r="A27" s="1694" t="s">
        <v>1892</v>
      </c>
      <c r="B27" s="1694" t="s">
        <v>1247</v>
      </c>
      <c r="C27" s="1694" t="s">
        <v>3767</v>
      </c>
      <c r="D27" s="1694" t="s">
        <v>1212</v>
      </c>
      <c r="E27" s="1694" t="s">
        <v>1190</v>
      </c>
      <c r="F27" s="1694" t="s">
        <v>3768</v>
      </c>
      <c r="G27" s="1694" t="s">
        <v>1192</v>
      </c>
      <c r="H27" s="1694" t="s">
        <v>1249</v>
      </c>
      <c r="I27" s="1694" t="s">
        <v>1250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F38F5-1938-A2C8-4498-E74BDF9A0EA1}" mc:Ignorable="x14ac xr xr2 xr3">
  <sheetPr>
    <tabColor rgb="FFFFCC99"/>
  </sheetPr>
  <dimension ref="A1:AK231"/>
  <sheetViews>
    <sheetView topLeftCell="A1" workbookViewId="0">
      <selection activeCell="A1" sqref="A1"/>
    </sheetView>
  </sheetViews>
  <sheetFormatPr customHeight="1" defaultRowHeight="11.25"/>
  <sheetData>
    <row customHeight="1" ht="11.25">
      <c r="A1" s="0" t="s">
        <v>2563</v>
      </c>
      <c r="B1" s="0" t="s">
        <v>2564</v>
      </c>
      <c r="C1" s="0" t="s">
        <v>2565</v>
      </c>
      <c r="D1" s="0" t="s">
        <v>3769</v>
      </c>
      <c r="E1" s="0" t="s">
        <v>3770</v>
      </c>
      <c r="F1" s="0" t="s">
        <v>3771</v>
      </c>
      <c r="G1" s="0" t="s">
        <v>3772</v>
      </c>
      <c r="H1" s="0" t="s">
        <v>3773</v>
      </c>
      <c r="I1" s="0" t="s">
        <v>3774</v>
      </c>
      <c r="J1" s="0" t="s">
        <v>3775</v>
      </c>
      <c r="K1" s="0" t="s">
        <v>3776</v>
      </c>
      <c r="L1" s="0" t="s">
        <v>3777</v>
      </c>
      <c r="M1" s="0" t="s">
        <v>3778</v>
      </c>
      <c r="N1" s="0" t="s">
        <v>3779</v>
      </c>
      <c r="O1" s="0" t="s">
        <v>3498</v>
      </c>
      <c r="P1" s="0" t="s">
        <v>3500</v>
      </c>
      <c r="Q1" s="0" t="s">
        <v>3501</v>
      </c>
      <c r="R1" s="0" t="s">
        <v>3780</v>
      </c>
      <c r="S1" s="0" t="s">
        <v>3781</v>
      </c>
      <c r="T1" s="0" t="s">
        <v>3782</v>
      </c>
      <c r="U1" s="0" t="s">
        <v>3783</v>
      </c>
      <c r="V1" s="0" t="s">
        <v>3784</v>
      </c>
      <c r="W1" s="0" t="s">
        <v>3785</v>
      </c>
      <c r="X1" s="0" t="s">
        <v>3786</v>
      </c>
      <c r="Y1" s="0" t="s">
        <v>3787</v>
      </c>
      <c r="Z1" s="0" t="s">
        <v>3788</v>
      </c>
      <c r="AA1" s="0" t="s">
        <v>3789</v>
      </c>
      <c r="AB1" s="0" t="s">
        <v>3790</v>
      </c>
      <c r="AC1" s="0" t="s">
        <v>3791</v>
      </c>
      <c r="AD1" s="0" t="s">
        <v>3792</v>
      </c>
      <c r="AE1" s="0" t="s">
        <v>3793</v>
      </c>
      <c r="AF1" s="0" t="s">
        <v>3794</v>
      </c>
      <c r="AG1" s="0" t="s">
        <v>3795</v>
      </c>
      <c r="AH1" s="0" t="s">
        <v>3796</v>
      </c>
      <c r="AI1" s="0" t="s">
        <v>3797</v>
      </c>
      <c r="AJ1" s="0" t="s">
        <v>3798</v>
      </c>
      <c r="AK1" s="0" t="s">
        <v>3799</v>
      </c>
    </row>
    <row customHeight="1" ht="11.25">
      <c r="A2" s="0" t="s">
        <v>22</v>
      </c>
      <c r="B2" s="0" t="s">
        <v>48</v>
      </c>
      <c r="C2" s="0" t="s">
        <v>50</v>
      </c>
      <c r="D2" s="0" t="s">
        <v>22</v>
      </c>
      <c r="E2" s="0" t="s">
        <v>3800</v>
      </c>
      <c r="F2" s="0" t="s">
        <v>1305</v>
      </c>
      <c r="G2" s="0" t="s">
        <v>123</v>
      </c>
      <c r="H2" s="0" t="s">
        <v>3580</v>
      </c>
      <c r="I2" s="0" t="s">
        <v>3581</v>
      </c>
      <c r="J2" s="0" t="s">
        <v>3801</v>
      </c>
      <c r="K2" s="0" t="s">
        <v>3802</v>
      </c>
      <c r="L2" s="0" t="s">
        <v>3803</v>
      </c>
      <c r="M2" s="0" t="s">
        <v>3804</v>
      </c>
      <c r="N2" s="0" t="s">
        <v>105</v>
      </c>
      <c r="O2" s="0" t="s">
        <v>123</v>
      </c>
      <c r="P2" s="0" t="s">
        <v>3580</v>
      </c>
      <c r="Q2" s="0" t="s">
        <v>3581</v>
      </c>
      <c r="R2" s="0" t="s">
        <v>3801</v>
      </c>
      <c r="S2" s="0" t="s">
        <v>3802</v>
      </c>
      <c r="T2" s="0" t="s">
        <v>3805</v>
      </c>
      <c r="U2" s="0" t="s">
        <v>3806</v>
      </c>
      <c r="V2" s="0" t="s">
        <v>713</v>
      </c>
      <c r="W2" s="0" t="s">
        <v>3807</v>
      </c>
      <c r="X2" s="0" t="s">
        <v>3808</v>
      </c>
      <c r="Y2" s="0" t="s">
        <v>3806</v>
      </c>
      <c r="Z2" s="0" t="s">
        <v>3809</v>
      </c>
      <c r="AA2" s="0" t="s">
        <v>3810</v>
      </c>
      <c r="AB2" s="0" t="s">
        <v>3811</v>
      </c>
      <c r="AC2" s="0" t="s">
        <v>64</v>
      </c>
      <c r="AD2" s="0" t="s">
        <v>19</v>
      </c>
      <c r="AE2" s="0" t="s">
        <v>64</v>
      </c>
      <c r="AF2" s="0" t="s">
        <v>3812</v>
      </c>
      <c r="AG2" s="0" t="s">
        <v>3813</v>
      </c>
      <c r="AH2" s="0" t="s">
        <v>22</v>
      </c>
      <c r="AI2" s="0" t="s">
        <v>22</v>
      </c>
      <c r="AJ2" s="0" t="s">
        <v>3812</v>
      </c>
      <c r="AK2" s="0" t="s">
        <v>3813</v>
      </c>
    </row>
    <row customHeight="1" ht="11.25">
      <c r="A3" s="0" t="s">
        <v>22</v>
      </c>
      <c r="B3" s="0" t="s">
        <v>48</v>
      </c>
      <c r="C3" s="0" t="s">
        <v>50</v>
      </c>
      <c r="D3" s="0" t="s">
        <v>22</v>
      </c>
      <c r="E3" s="0" t="s">
        <v>3800</v>
      </c>
      <c r="F3" s="0" t="s">
        <v>1305</v>
      </c>
      <c r="G3" s="0" t="s">
        <v>123</v>
      </c>
      <c r="H3" s="0" t="s">
        <v>3580</v>
      </c>
      <c r="I3" s="0" t="s">
        <v>3581</v>
      </c>
      <c r="J3" s="0" t="s">
        <v>3801</v>
      </c>
      <c r="K3" s="0" t="s">
        <v>3802</v>
      </c>
      <c r="L3" s="0" t="s">
        <v>3803</v>
      </c>
      <c r="M3" s="0" t="s">
        <v>3804</v>
      </c>
      <c r="N3" s="0" t="s">
        <v>105</v>
      </c>
      <c r="O3" s="0" t="s">
        <v>123</v>
      </c>
      <c r="P3" s="0" t="s">
        <v>3580</v>
      </c>
      <c r="Q3" s="0" t="s">
        <v>3581</v>
      </c>
      <c r="R3" s="0" t="s">
        <v>3801</v>
      </c>
      <c r="S3" s="0" t="s">
        <v>3802</v>
      </c>
      <c r="T3" s="0" t="s">
        <v>3805</v>
      </c>
      <c r="U3" s="0" t="s">
        <v>3806</v>
      </c>
      <c r="V3" s="0" t="s">
        <v>713</v>
      </c>
      <c r="W3" s="0" t="s">
        <v>3807</v>
      </c>
      <c r="X3" s="0" t="s">
        <v>3808</v>
      </c>
      <c r="Y3" s="0" t="s">
        <v>3806</v>
      </c>
      <c r="Z3" s="0" t="s">
        <v>3809</v>
      </c>
      <c r="AA3" s="0" t="s">
        <v>3810</v>
      </c>
      <c r="AB3" s="0" t="s">
        <v>3811</v>
      </c>
      <c r="AC3" s="0" t="s">
        <v>64</v>
      </c>
      <c r="AD3" s="0" t="s">
        <v>19</v>
      </c>
      <c r="AE3" s="0" t="s">
        <v>64</v>
      </c>
      <c r="AF3" s="0" t="s">
        <v>3812</v>
      </c>
      <c r="AG3" s="0" t="s">
        <v>3813</v>
      </c>
      <c r="AH3" s="0" t="s">
        <v>22</v>
      </c>
      <c r="AI3" s="0" t="s">
        <v>22</v>
      </c>
      <c r="AJ3" s="0" t="s">
        <v>3812</v>
      </c>
      <c r="AK3" s="0" t="s">
        <v>3813</v>
      </c>
    </row>
    <row customHeight="1" ht="11.25">
      <c r="A4" s="0" t="s">
        <v>22</v>
      </c>
      <c r="B4" s="0" t="s">
        <v>48</v>
      </c>
      <c r="C4" s="0" t="s">
        <v>50</v>
      </c>
      <c r="D4" s="0" t="s">
        <v>22</v>
      </c>
      <c r="E4" s="0" t="s">
        <v>3814</v>
      </c>
      <c r="F4" s="0" t="s">
        <v>3815</v>
      </c>
      <c r="G4" s="0" t="s">
        <v>106</v>
      </c>
      <c r="H4" s="0" t="s">
        <v>106</v>
      </c>
      <c r="I4" s="0" t="s">
        <v>107</v>
      </c>
      <c r="J4" s="0" t="s">
        <v>3816</v>
      </c>
      <c r="K4" s="0" t="s">
        <v>3817</v>
      </c>
      <c r="L4" s="0" t="s">
        <v>3818</v>
      </c>
      <c r="M4" s="0" t="s">
        <v>3818</v>
      </c>
      <c r="N4" s="0" t="s">
        <v>105</v>
      </c>
      <c r="O4" s="0" t="s">
        <v>106</v>
      </c>
      <c r="P4" s="0" t="s">
        <v>106</v>
      </c>
      <c r="Q4" s="0" t="s">
        <v>107</v>
      </c>
      <c r="R4" s="0" t="s">
        <v>3816</v>
      </c>
      <c r="S4" s="0" t="s">
        <v>3817</v>
      </c>
      <c r="T4" s="0" t="s">
        <v>3819</v>
      </c>
      <c r="U4" s="0" t="s">
        <v>3820</v>
      </c>
      <c r="V4" s="0" t="s">
        <v>713</v>
      </c>
      <c r="W4" s="0" t="s">
        <v>3807</v>
      </c>
      <c r="X4" s="0" t="s">
        <v>3821</v>
      </c>
      <c r="Y4" s="0" t="s">
        <v>3820</v>
      </c>
      <c r="Z4" s="0" t="s">
        <v>3822</v>
      </c>
      <c r="AA4" s="0" t="s">
        <v>3823</v>
      </c>
      <c r="AB4" s="0" t="s">
        <v>3824</v>
      </c>
      <c r="AC4" s="0" t="s">
        <v>64</v>
      </c>
      <c r="AD4" s="0" t="s">
        <v>19</v>
      </c>
      <c r="AE4" s="0" t="s">
        <v>19</v>
      </c>
      <c r="AF4" s="0" t="s">
        <v>130</v>
      </c>
      <c r="AG4" s="0" t="s">
        <v>3825</v>
      </c>
      <c r="AH4" s="0" t="s">
        <v>22</v>
      </c>
      <c r="AI4" s="0" t="s">
        <v>22</v>
      </c>
      <c r="AJ4" s="0" t="s">
        <v>22</v>
      </c>
      <c r="AK4" s="0" t="s">
        <v>22</v>
      </c>
    </row>
    <row customHeight="1" ht="11.25">
      <c r="A5" s="0" t="s">
        <v>22</v>
      </c>
      <c r="B5" s="0" t="s">
        <v>48</v>
      </c>
      <c r="C5" s="0" t="s">
        <v>50</v>
      </c>
      <c r="D5" s="0" t="s">
        <v>22</v>
      </c>
      <c r="E5" s="0" t="s">
        <v>3814</v>
      </c>
      <c r="F5" s="0" t="s">
        <v>3815</v>
      </c>
      <c r="G5" s="0" t="s">
        <v>106</v>
      </c>
      <c r="H5" s="0" t="s">
        <v>106</v>
      </c>
      <c r="I5" s="0" t="s">
        <v>107</v>
      </c>
      <c r="J5" s="0" t="s">
        <v>3816</v>
      </c>
      <c r="K5" s="0" t="s">
        <v>3817</v>
      </c>
      <c r="L5" s="0" t="s">
        <v>3818</v>
      </c>
      <c r="M5" s="0" t="s">
        <v>3818</v>
      </c>
      <c r="N5" s="0" t="s">
        <v>105</v>
      </c>
      <c r="O5" s="0" t="s">
        <v>106</v>
      </c>
      <c r="P5" s="0" t="s">
        <v>106</v>
      </c>
      <c r="Q5" s="0" t="s">
        <v>107</v>
      </c>
      <c r="R5" s="0" t="s">
        <v>3816</v>
      </c>
      <c r="S5" s="0" t="s">
        <v>3817</v>
      </c>
      <c r="T5" s="0" t="s">
        <v>3819</v>
      </c>
      <c r="U5" s="0" t="s">
        <v>3820</v>
      </c>
      <c r="V5" s="0" t="s">
        <v>713</v>
      </c>
      <c r="W5" s="0" t="s">
        <v>3807</v>
      </c>
      <c r="X5" s="0" t="s">
        <v>3821</v>
      </c>
      <c r="Y5" s="0" t="s">
        <v>3820</v>
      </c>
      <c r="Z5" s="0" t="s">
        <v>3822</v>
      </c>
      <c r="AA5" s="0" t="s">
        <v>3823</v>
      </c>
      <c r="AB5" s="0" t="s">
        <v>3824</v>
      </c>
      <c r="AC5" s="0" t="s">
        <v>64</v>
      </c>
      <c r="AD5" s="0" t="s">
        <v>19</v>
      </c>
      <c r="AE5" s="0" t="s">
        <v>19</v>
      </c>
      <c r="AF5" s="0" t="s">
        <v>130</v>
      </c>
      <c r="AG5" s="0" t="s">
        <v>3825</v>
      </c>
      <c r="AH5" s="0" t="s">
        <v>22</v>
      </c>
      <c r="AI5" s="0" t="s">
        <v>22</v>
      </c>
      <c r="AJ5" s="0" t="s">
        <v>22</v>
      </c>
      <c r="AK5" s="0" t="s">
        <v>22</v>
      </c>
    </row>
    <row customHeight="1" ht="11.25">
      <c r="A6" s="0" t="s">
        <v>22</v>
      </c>
      <c r="B6" s="0" t="s">
        <v>48</v>
      </c>
      <c r="C6" s="0" t="s">
        <v>50</v>
      </c>
      <c r="D6" s="0" t="s">
        <v>22</v>
      </c>
      <c r="E6" s="0" t="s">
        <v>3826</v>
      </c>
      <c r="F6" s="0" t="s">
        <v>3815</v>
      </c>
      <c r="G6" s="0" t="s">
        <v>106</v>
      </c>
      <c r="H6" s="0" t="s">
        <v>106</v>
      </c>
      <c r="I6" s="0" t="s">
        <v>107</v>
      </c>
      <c r="J6" s="0" t="s">
        <v>3816</v>
      </c>
      <c r="K6" s="0" t="s">
        <v>3817</v>
      </c>
      <c r="L6" s="0" t="s">
        <v>3818</v>
      </c>
      <c r="M6" s="0" t="s">
        <v>3818</v>
      </c>
      <c r="N6" s="0" t="s">
        <v>105</v>
      </c>
      <c r="O6" s="0" t="s">
        <v>106</v>
      </c>
      <c r="P6" s="0" t="s">
        <v>106</v>
      </c>
      <c r="Q6" s="0" t="s">
        <v>107</v>
      </c>
      <c r="R6" s="0" t="s">
        <v>3816</v>
      </c>
      <c r="S6" s="0" t="s">
        <v>3817</v>
      </c>
      <c r="T6" s="0" t="s">
        <v>3819</v>
      </c>
      <c r="U6" s="0" t="s">
        <v>3820</v>
      </c>
      <c r="V6" s="0" t="s">
        <v>713</v>
      </c>
      <c r="W6" s="0" t="s">
        <v>3807</v>
      </c>
      <c r="X6" s="0" t="s">
        <v>3821</v>
      </c>
      <c r="Y6" s="0" t="s">
        <v>3820</v>
      </c>
      <c r="Z6" s="0" t="s">
        <v>3822</v>
      </c>
      <c r="AA6" s="0" t="s">
        <v>3823</v>
      </c>
      <c r="AB6" s="0" t="s">
        <v>3824</v>
      </c>
      <c r="AC6" s="0" t="s">
        <v>64</v>
      </c>
      <c r="AD6" s="0" t="s">
        <v>19</v>
      </c>
      <c r="AE6" s="0" t="s">
        <v>19</v>
      </c>
      <c r="AF6" s="0" t="s">
        <v>130</v>
      </c>
      <c r="AG6" s="0" t="s">
        <v>3825</v>
      </c>
      <c r="AH6" s="0" t="s">
        <v>22</v>
      </c>
      <c r="AI6" s="0" t="s">
        <v>22</v>
      </c>
      <c r="AJ6" s="0" t="s">
        <v>22</v>
      </c>
      <c r="AK6" s="0" t="s">
        <v>22</v>
      </c>
    </row>
    <row customHeight="1" ht="11.25">
      <c r="A7" s="0" t="s">
        <v>22</v>
      </c>
      <c r="B7" s="0" t="s">
        <v>48</v>
      </c>
      <c r="C7" s="0" t="s">
        <v>50</v>
      </c>
      <c r="D7" s="0" t="s">
        <v>22</v>
      </c>
      <c r="E7" s="0" t="s">
        <v>3826</v>
      </c>
      <c r="F7" s="0" t="s">
        <v>3815</v>
      </c>
      <c r="G7" s="0" t="s">
        <v>106</v>
      </c>
      <c r="H7" s="0" t="s">
        <v>106</v>
      </c>
      <c r="I7" s="0" t="s">
        <v>107</v>
      </c>
      <c r="J7" s="0" t="s">
        <v>3816</v>
      </c>
      <c r="K7" s="0" t="s">
        <v>3817</v>
      </c>
      <c r="L7" s="0" t="s">
        <v>3818</v>
      </c>
      <c r="M7" s="0" t="s">
        <v>3818</v>
      </c>
      <c r="N7" s="0" t="s">
        <v>105</v>
      </c>
      <c r="O7" s="0" t="s">
        <v>106</v>
      </c>
      <c r="P7" s="0" t="s">
        <v>106</v>
      </c>
      <c r="Q7" s="0" t="s">
        <v>107</v>
      </c>
      <c r="R7" s="0" t="s">
        <v>3816</v>
      </c>
      <c r="S7" s="0" t="s">
        <v>3817</v>
      </c>
      <c r="T7" s="0" t="s">
        <v>3819</v>
      </c>
      <c r="U7" s="0" t="s">
        <v>3820</v>
      </c>
      <c r="V7" s="0" t="s">
        <v>713</v>
      </c>
      <c r="W7" s="0" t="s">
        <v>3807</v>
      </c>
      <c r="X7" s="0" t="s">
        <v>3821</v>
      </c>
      <c r="Y7" s="0" t="s">
        <v>3820</v>
      </c>
      <c r="Z7" s="0" t="s">
        <v>3822</v>
      </c>
      <c r="AA7" s="0" t="s">
        <v>3823</v>
      </c>
      <c r="AB7" s="0" t="s">
        <v>3824</v>
      </c>
      <c r="AC7" s="0" t="s">
        <v>64</v>
      </c>
      <c r="AD7" s="0" t="s">
        <v>19</v>
      </c>
      <c r="AE7" s="0" t="s">
        <v>19</v>
      </c>
      <c r="AF7" s="0" t="s">
        <v>130</v>
      </c>
      <c r="AG7" s="0" t="s">
        <v>3825</v>
      </c>
      <c r="AH7" s="0" t="s">
        <v>22</v>
      </c>
      <c r="AI7" s="0" t="s">
        <v>22</v>
      </c>
      <c r="AJ7" s="0" t="s">
        <v>22</v>
      </c>
      <c r="AK7" s="0" t="s">
        <v>22</v>
      </c>
    </row>
    <row customHeight="1" ht="11.25">
      <c r="A8" s="0" t="s">
        <v>22</v>
      </c>
      <c r="B8" s="0" t="s">
        <v>48</v>
      </c>
      <c r="C8" s="0" t="s">
        <v>50</v>
      </c>
      <c r="D8" s="0" t="s">
        <v>22</v>
      </c>
      <c r="E8" s="0" t="s">
        <v>3827</v>
      </c>
      <c r="F8" s="0" t="s">
        <v>3815</v>
      </c>
      <c r="G8" s="0" t="s">
        <v>106</v>
      </c>
      <c r="H8" s="0" t="s">
        <v>106</v>
      </c>
      <c r="I8" s="0" t="s">
        <v>107</v>
      </c>
      <c r="J8" s="0" t="s">
        <v>3828</v>
      </c>
      <c r="K8" s="0" t="s">
        <v>3829</v>
      </c>
      <c r="L8" s="0" t="s">
        <v>3830</v>
      </c>
      <c r="M8" s="0" t="s">
        <v>3831</v>
      </c>
      <c r="N8" s="0" t="s">
        <v>105</v>
      </c>
      <c r="O8" s="0" t="s">
        <v>106</v>
      </c>
      <c r="P8" s="0" t="s">
        <v>106</v>
      </c>
      <c r="Q8" s="0" t="s">
        <v>107</v>
      </c>
      <c r="R8" s="0" t="s">
        <v>3828</v>
      </c>
      <c r="S8" s="0" t="s">
        <v>3829</v>
      </c>
      <c r="T8" s="0" t="s">
        <v>3819</v>
      </c>
      <c r="U8" s="0" t="s">
        <v>3820</v>
      </c>
      <c r="V8" s="0" t="s">
        <v>713</v>
      </c>
      <c r="W8" s="0" t="s">
        <v>3807</v>
      </c>
      <c r="X8" s="0" t="s">
        <v>3821</v>
      </c>
      <c r="Y8" s="0" t="s">
        <v>3820</v>
      </c>
      <c r="Z8" s="0" t="s">
        <v>3822</v>
      </c>
      <c r="AA8" s="0" t="s">
        <v>3823</v>
      </c>
      <c r="AB8" s="0" t="s">
        <v>3824</v>
      </c>
      <c r="AC8" s="0" t="s">
        <v>64</v>
      </c>
      <c r="AD8" s="0" t="s">
        <v>19</v>
      </c>
      <c r="AE8" s="0" t="s">
        <v>19</v>
      </c>
      <c r="AF8" s="0" t="s">
        <v>1121</v>
      </c>
      <c r="AG8" s="0" t="s">
        <v>3832</v>
      </c>
      <c r="AH8" s="0" t="s">
        <v>22</v>
      </c>
      <c r="AI8" s="0" t="s">
        <v>22</v>
      </c>
      <c r="AJ8" s="0" t="s">
        <v>22</v>
      </c>
      <c r="AK8" s="0" t="s">
        <v>22</v>
      </c>
    </row>
    <row customHeight="1" ht="11.25">
      <c r="A9" s="0" t="s">
        <v>22</v>
      </c>
      <c r="B9" s="0" t="s">
        <v>48</v>
      </c>
      <c r="C9" s="0" t="s">
        <v>50</v>
      </c>
      <c r="D9" s="0" t="s">
        <v>22</v>
      </c>
      <c r="E9" s="0" t="s">
        <v>3827</v>
      </c>
      <c r="F9" s="0" t="s">
        <v>3815</v>
      </c>
      <c r="G9" s="0" t="s">
        <v>106</v>
      </c>
      <c r="H9" s="0" t="s">
        <v>106</v>
      </c>
      <c r="I9" s="0" t="s">
        <v>107</v>
      </c>
      <c r="J9" s="0" t="s">
        <v>3833</v>
      </c>
      <c r="K9" s="0" t="s">
        <v>3834</v>
      </c>
      <c r="L9" s="0" t="s">
        <v>3830</v>
      </c>
      <c r="M9" s="0" t="s">
        <v>3831</v>
      </c>
      <c r="N9" s="0" t="s">
        <v>105</v>
      </c>
      <c r="O9" s="0" t="s">
        <v>106</v>
      </c>
      <c r="P9" s="0" t="s">
        <v>106</v>
      </c>
      <c r="Q9" s="0" t="s">
        <v>107</v>
      </c>
      <c r="R9" s="0" t="s">
        <v>3833</v>
      </c>
      <c r="S9" s="0" t="s">
        <v>3834</v>
      </c>
      <c r="T9" s="0" t="s">
        <v>3819</v>
      </c>
      <c r="U9" s="0" t="s">
        <v>3820</v>
      </c>
      <c r="V9" s="0" t="s">
        <v>713</v>
      </c>
      <c r="W9" s="0" t="s">
        <v>3807</v>
      </c>
      <c r="X9" s="0" t="s">
        <v>3821</v>
      </c>
      <c r="Y9" s="0" t="s">
        <v>3820</v>
      </c>
      <c r="Z9" s="0" t="s">
        <v>3822</v>
      </c>
      <c r="AA9" s="0" t="s">
        <v>3823</v>
      </c>
      <c r="AB9" s="0" t="s">
        <v>3824</v>
      </c>
      <c r="AC9" s="0" t="s">
        <v>64</v>
      </c>
      <c r="AD9" s="0" t="s">
        <v>19</v>
      </c>
      <c r="AE9" s="0" t="s">
        <v>19</v>
      </c>
      <c r="AF9" s="0" t="s">
        <v>1121</v>
      </c>
      <c r="AG9" s="0" t="s">
        <v>3832</v>
      </c>
      <c r="AH9" s="0" t="s">
        <v>22</v>
      </c>
      <c r="AI9" s="0" t="s">
        <v>22</v>
      </c>
      <c r="AJ9" s="0" t="s">
        <v>22</v>
      </c>
      <c r="AK9" s="0" t="s">
        <v>22</v>
      </c>
    </row>
    <row customHeight="1" ht="11.25">
      <c r="A10" s="0" t="s">
        <v>22</v>
      </c>
      <c r="B10" s="0" t="s">
        <v>48</v>
      </c>
      <c r="C10" s="0" t="s">
        <v>50</v>
      </c>
      <c r="D10" s="0" t="s">
        <v>22</v>
      </c>
      <c r="E10" s="0" t="s">
        <v>3835</v>
      </c>
      <c r="F10" s="0" t="s">
        <v>3815</v>
      </c>
      <c r="G10" s="0" t="s">
        <v>131</v>
      </c>
      <c r="H10" s="0" t="s">
        <v>131</v>
      </c>
      <c r="I10" s="0" t="s">
        <v>132</v>
      </c>
      <c r="J10" s="0" t="s">
        <v>3836</v>
      </c>
      <c r="K10" s="0" t="s">
        <v>3837</v>
      </c>
      <c r="L10" s="0" t="s">
        <v>3818</v>
      </c>
      <c r="M10" s="0" t="s">
        <v>3818</v>
      </c>
      <c r="N10" s="0" t="s">
        <v>105</v>
      </c>
      <c r="O10" s="0" t="s">
        <v>131</v>
      </c>
      <c r="P10" s="0" t="s">
        <v>131</v>
      </c>
      <c r="Q10" s="0" t="s">
        <v>132</v>
      </c>
      <c r="R10" s="0" t="s">
        <v>3836</v>
      </c>
      <c r="S10" s="0" t="s">
        <v>3837</v>
      </c>
      <c r="T10" s="0" t="s">
        <v>3819</v>
      </c>
      <c r="U10" s="0" t="s">
        <v>3820</v>
      </c>
      <c r="V10" s="0" t="s">
        <v>713</v>
      </c>
      <c r="W10" s="0" t="s">
        <v>3807</v>
      </c>
      <c r="X10" s="0" t="s">
        <v>3821</v>
      </c>
      <c r="Y10" s="0" t="s">
        <v>3820</v>
      </c>
      <c r="Z10" s="0" t="s">
        <v>3838</v>
      </c>
      <c r="AA10" s="0" t="s">
        <v>3839</v>
      </c>
      <c r="AB10" s="0" t="s">
        <v>3840</v>
      </c>
      <c r="AC10" s="0" t="s">
        <v>64</v>
      </c>
      <c r="AD10" s="0" t="s">
        <v>19</v>
      </c>
      <c r="AE10" s="0" t="s">
        <v>19</v>
      </c>
      <c r="AF10" s="0" t="s">
        <v>1944</v>
      </c>
      <c r="AG10" s="0" t="s">
        <v>1944</v>
      </c>
      <c r="AH10" s="0" t="s">
        <v>22</v>
      </c>
      <c r="AI10" s="0" t="s">
        <v>22</v>
      </c>
      <c r="AJ10" s="0" t="s">
        <v>22</v>
      </c>
      <c r="AK10" s="0" t="s">
        <v>22</v>
      </c>
    </row>
    <row customHeight="1" ht="11.25">
      <c r="A11" s="0" t="s">
        <v>22</v>
      </c>
      <c r="B11" s="0" t="s">
        <v>48</v>
      </c>
      <c r="C11" s="0" t="s">
        <v>50</v>
      </c>
      <c r="D11" s="0" t="s">
        <v>22</v>
      </c>
      <c r="E11" s="0" t="s">
        <v>3835</v>
      </c>
      <c r="F11" s="0" t="s">
        <v>3815</v>
      </c>
      <c r="G11" s="0" t="s">
        <v>131</v>
      </c>
      <c r="H11" s="0" t="s">
        <v>131</v>
      </c>
      <c r="I11" s="0" t="s">
        <v>132</v>
      </c>
      <c r="J11" s="0" t="s">
        <v>3836</v>
      </c>
      <c r="K11" s="0" t="s">
        <v>3837</v>
      </c>
      <c r="L11" s="0" t="s">
        <v>3818</v>
      </c>
      <c r="M11" s="0" t="s">
        <v>3818</v>
      </c>
      <c r="N11" s="0" t="s">
        <v>105</v>
      </c>
      <c r="O11" s="0" t="s">
        <v>131</v>
      </c>
      <c r="P11" s="0" t="s">
        <v>131</v>
      </c>
      <c r="Q11" s="0" t="s">
        <v>132</v>
      </c>
      <c r="R11" s="0" t="s">
        <v>3836</v>
      </c>
      <c r="S11" s="0" t="s">
        <v>3837</v>
      </c>
      <c r="T11" s="0" t="s">
        <v>3819</v>
      </c>
      <c r="U11" s="0" t="s">
        <v>3820</v>
      </c>
      <c r="V11" s="0" t="s">
        <v>713</v>
      </c>
      <c r="W11" s="0" t="s">
        <v>3807</v>
      </c>
      <c r="X11" s="0" t="s">
        <v>3821</v>
      </c>
      <c r="Y11" s="0" t="s">
        <v>3820</v>
      </c>
      <c r="Z11" s="0" t="s">
        <v>3838</v>
      </c>
      <c r="AA11" s="0" t="s">
        <v>3839</v>
      </c>
      <c r="AB11" s="0" t="s">
        <v>3840</v>
      </c>
      <c r="AC11" s="0" t="s">
        <v>64</v>
      </c>
      <c r="AD11" s="0" t="s">
        <v>19</v>
      </c>
      <c r="AE11" s="0" t="s">
        <v>19</v>
      </c>
      <c r="AF11" s="0" t="s">
        <v>1944</v>
      </c>
      <c r="AG11" s="0" t="s">
        <v>1944</v>
      </c>
      <c r="AH11" s="0" t="s">
        <v>22</v>
      </c>
      <c r="AI11" s="0" t="s">
        <v>22</v>
      </c>
      <c r="AJ11" s="0" t="s">
        <v>22</v>
      </c>
      <c r="AK11" s="0" t="s">
        <v>22</v>
      </c>
    </row>
    <row customHeight="1" ht="11.25">
      <c r="A12" s="0" t="s">
        <v>22</v>
      </c>
      <c r="B12" s="0" t="s">
        <v>48</v>
      </c>
      <c r="C12" s="0" t="s">
        <v>50</v>
      </c>
      <c r="D12" s="0" t="s">
        <v>22</v>
      </c>
      <c r="E12" s="0" t="s">
        <v>3841</v>
      </c>
      <c r="F12" s="0" t="s">
        <v>1305</v>
      </c>
      <c r="G12" s="0" t="s">
        <v>99</v>
      </c>
      <c r="H12" s="0" t="s">
        <v>99</v>
      </c>
      <c r="I12" s="0" t="s">
        <v>100</v>
      </c>
      <c r="J12" s="0" t="s">
        <v>3842</v>
      </c>
      <c r="K12" s="0" t="s">
        <v>3843</v>
      </c>
      <c r="L12" s="0" t="s">
        <v>3844</v>
      </c>
      <c r="M12" s="0" t="s">
        <v>3845</v>
      </c>
      <c r="N12" s="0" t="s">
        <v>105</v>
      </c>
      <c r="O12" s="0" t="s">
        <v>99</v>
      </c>
      <c r="P12" s="0" t="s">
        <v>99</v>
      </c>
      <c r="Q12" s="0" t="s">
        <v>100</v>
      </c>
      <c r="R12" s="0" t="s">
        <v>3842</v>
      </c>
      <c r="S12" s="0" t="s">
        <v>3843</v>
      </c>
      <c r="T12" s="0" t="s">
        <v>3819</v>
      </c>
      <c r="U12" s="0" t="s">
        <v>3820</v>
      </c>
      <c r="V12" s="0" t="s">
        <v>713</v>
      </c>
      <c r="W12" s="0" t="s">
        <v>3807</v>
      </c>
      <c r="X12" s="0" t="s">
        <v>3821</v>
      </c>
      <c r="Y12" s="0" t="s">
        <v>3820</v>
      </c>
      <c r="Z12" s="0" t="s">
        <v>3846</v>
      </c>
      <c r="AA12" s="0" t="s">
        <v>3847</v>
      </c>
      <c r="AB12" s="0" t="s">
        <v>3840</v>
      </c>
      <c r="AC12" s="0" t="s">
        <v>64</v>
      </c>
      <c r="AD12" s="0" t="s">
        <v>19</v>
      </c>
      <c r="AE12" s="0" t="s">
        <v>64</v>
      </c>
      <c r="AF12" s="0" t="s">
        <v>155</v>
      </c>
      <c r="AG12" s="0" t="s">
        <v>3848</v>
      </c>
      <c r="AH12" s="0" t="s">
        <v>22</v>
      </c>
      <c r="AI12" s="0" t="s">
        <v>22</v>
      </c>
      <c r="AJ12" s="0" t="s">
        <v>155</v>
      </c>
      <c r="AK12" s="0" t="s">
        <v>3848</v>
      </c>
    </row>
    <row customHeight="1" ht="11.25">
      <c r="A13" s="0" t="s">
        <v>22</v>
      </c>
      <c r="B13" s="0" t="s">
        <v>48</v>
      </c>
      <c r="C13" s="0" t="s">
        <v>50</v>
      </c>
      <c r="D13" s="0" t="s">
        <v>22</v>
      </c>
      <c r="E13" s="0" t="s">
        <v>3841</v>
      </c>
      <c r="F13" s="0" t="s">
        <v>1305</v>
      </c>
      <c r="G13" s="0" t="s">
        <v>99</v>
      </c>
      <c r="H13" s="0" t="s">
        <v>99</v>
      </c>
      <c r="I13" s="0" t="s">
        <v>100</v>
      </c>
      <c r="J13" s="0" t="s">
        <v>3842</v>
      </c>
      <c r="K13" s="0" t="s">
        <v>3843</v>
      </c>
      <c r="L13" s="0" t="s">
        <v>3844</v>
      </c>
      <c r="M13" s="0" t="s">
        <v>3845</v>
      </c>
      <c r="N13" s="0" t="s">
        <v>105</v>
      </c>
      <c r="O13" s="0" t="s">
        <v>99</v>
      </c>
      <c r="P13" s="0" t="s">
        <v>99</v>
      </c>
      <c r="Q13" s="0" t="s">
        <v>100</v>
      </c>
      <c r="R13" s="0" t="s">
        <v>3842</v>
      </c>
      <c r="S13" s="0" t="s">
        <v>3843</v>
      </c>
      <c r="T13" s="0" t="s">
        <v>3819</v>
      </c>
      <c r="U13" s="0" t="s">
        <v>3820</v>
      </c>
      <c r="V13" s="0" t="s">
        <v>713</v>
      </c>
      <c r="W13" s="0" t="s">
        <v>3807</v>
      </c>
      <c r="X13" s="0" t="s">
        <v>3821</v>
      </c>
      <c r="Y13" s="0" t="s">
        <v>3820</v>
      </c>
      <c r="Z13" s="0" t="s">
        <v>3846</v>
      </c>
      <c r="AA13" s="0" t="s">
        <v>3847</v>
      </c>
      <c r="AB13" s="0" t="s">
        <v>3840</v>
      </c>
      <c r="AC13" s="0" t="s">
        <v>64</v>
      </c>
      <c r="AD13" s="0" t="s">
        <v>19</v>
      </c>
      <c r="AE13" s="0" t="s">
        <v>64</v>
      </c>
      <c r="AF13" s="0" t="s">
        <v>155</v>
      </c>
      <c r="AG13" s="0" t="s">
        <v>3848</v>
      </c>
      <c r="AH13" s="0" t="s">
        <v>22</v>
      </c>
      <c r="AI13" s="0" t="s">
        <v>22</v>
      </c>
      <c r="AJ13" s="0" t="s">
        <v>155</v>
      </c>
      <c r="AK13" s="0" t="s">
        <v>3848</v>
      </c>
    </row>
    <row customHeight="1" ht="11.25">
      <c r="A14" s="0" t="s">
        <v>22</v>
      </c>
      <c r="B14" s="0" t="s">
        <v>48</v>
      </c>
      <c r="C14" s="0" t="s">
        <v>50</v>
      </c>
      <c r="D14" s="0" t="s">
        <v>22</v>
      </c>
      <c r="E14" s="0" t="s">
        <v>3849</v>
      </c>
      <c r="F14" s="0" t="s">
        <v>3815</v>
      </c>
      <c r="G14" s="0" t="s">
        <v>118</v>
      </c>
      <c r="H14" s="0" t="s">
        <v>118</v>
      </c>
      <c r="I14" s="0" t="s">
        <v>119</v>
      </c>
      <c r="J14" s="0" t="s">
        <v>3850</v>
      </c>
      <c r="K14" s="0" t="s">
        <v>3851</v>
      </c>
      <c r="L14" s="0" t="s">
        <v>3852</v>
      </c>
      <c r="M14" s="0" t="s">
        <v>3674</v>
      </c>
      <c r="N14" s="0" t="s">
        <v>105</v>
      </c>
      <c r="O14" s="0" t="s">
        <v>3853</v>
      </c>
      <c r="P14" s="0" t="s">
        <v>3853</v>
      </c>
      <c r="Q14" s="0" t="s">
        <v>119</v>
      </c>
      <c r="R14" s="0" t="s">
        <v>3850</v>
      </c>
      <c r="S14" s="0" t="s">
        <v>3851</v>
      </c>
      <c r="T14" s="0" t="s">
        <v>3805</v>
      </c>
      <c r="U14" s="0" t="s">
        <v>3806</v>
      </c>
      <c r="V14" s="0" t="s">
        <v>713</v>
      </c>
      <c r="W14" s="0" t="s">
        <v>3807</v>
      </c>
      <c r="X14" s="0" t="s">
        <v>3854</v>
      </c>
      <c r="Y14" s="0" t="s">
        <v>3806</v>
      </c>
      <c r="Z14" s="0" t="s">
        <v>3855</v>
      </c>
      <c r="AA14" s="0" t="s">
        <v>3856</v>
      </c>
      <c r="AB14" s="0" t="s">
        <v>3857</v>
      </c>
      <c r="AC14" s="0" t="s">
        <v>64</v>
      </c>
      <c r="AD14" s="0" t="s">
        <v>19</v>
      </c>
      <c r="AE14" s="0" t="s">
        <v>19</v>
      </c>
      <c r="AF14" s="0" t="s">
        <v>3858</v>
      </c>
      <c r="AG14" s="0" t="s">
        <v>514</v>
      </c>
      <c r="AH14" s="0" t="s">
        <v>22</v>
      </c>
      <c r="AI14" s="0" t="s">
        <v>22</v>
      </c>
      <c r="AJ14" s="0" t="s">
        <v>22</v>
      </c>
      <c r="AK14" s="0" t="s">
        <v>22</v>
      </c>
    </row>
    <row customHeight="1" ht="11.25">
      <c r="A15" s="0" t="s">
        <v>22</v>
      </c>
      <c r="B15" s="0" t="s">
        <v>48</v>
      </c>
      <c r="C15" s="0" t="s">
        <v>50</v>
      </c>
      <c r="D15" s="0" t="s">
        <v>22</v>
      </c>
      <c r="E15" s="0" t="s">
        <v>3849</v>
      </c>
      <c r="F15" s="0" t="s">
        <v>3815</v>
      </c>
      <c r="G15" s="0" t="s">
        <v>118</v>
      </c>
      <c r="H15" s="0" t="s">
        <v>118</v>
      </c>
      <c r="I15" s="0" t="s">
        <v>119</v>
      </c>
      <c r="J15" s="0" t="s">
        <v>3850</v>
      </c>
      <c r="K15" s="0" t="s">
        <v>3851</v>
      </c>
      <c r="L15" s="0" t="s">
        <v>3852</v>
      </c>
      <c r="M15" s="0" t="s">
        <v>3674</v>
      </c>
      <c r="N15" s="0" t="s">
        <v>105</v>
      </c>
      <c r="O15" s="0" t="s">
        <v>3853</v>
      </c>
      <c r="P15" s="0" t="s">
        <v>3853</v>
      </c>
      <c r="Q15" s="0" t="s">
        <v>119</v>
      </c>
      <c r="R15" s="0" t="s">
        <v>3850</v>
      </c>
      <c r="S15" s="0" t="s">
        <v>3851</v>
      </c>
      <c r="T15" s="0" t="s">
        <v>3805</v>
      </c>
      <c r="U15" s="0" t="s">
        <v>3806</v>
      </c>
      <c r="V15" s="0" t="s">
        <v>713</v>
      </c>
      <c r="W15" s="0" t="s">
        <v>3807</v>
      </c>
      <c r="X15" s="0" t="s">
        <v>3854</v>
      </c>
      <c r="Y15" s="0" t="s">
        <v>3806</v>
      </c>
      <c r="Z15" s="0" t="s">
        <v>3855</v>
      </c>
      <c r="AA15" s="0" t="s">
        <v>3856</v>
      </c>
      <c r="AB15" s="0" t="s">
        <v>3857</v>
      </c>
      <c r="AC15" s="0" t="s">
        <v>64</v>
      </c>
      <c r="AD15" s="0" t="s">
        <v>19</v>
      </c>
      <c r="AE15" s="0" t="s">
        <v>19</v>
      </c>
      <c r="AF15" s="0" t="s">
        <v>3858</v>
      </c>
      <c r="AG15" s="0" t="s">
        <v>514</v>
      </c>
      <c r="AH15" s="0" t="s">
        <v>22</v>
      </c>
      <c r="AI15" s="0" t="s">
        <v>22</v>
      </c>
      <c r="AJ15" s="0" t="s">
        <v>22</v>
      </c>
      <c r="AK15" s="0" t="s">
        <v>22</v>
      </c>
    </row>
    <row customHeight="1" ht="11.25">
      <c r="A16" s="0" t="s">
        <v>22</v>
      </c>
      <c r="B16" s="0" t="s">
        <v>48</v>
      </c>
      <c r="C16" s="0" t="s">
        <v>50</v>
      </c>
      <c r="D16" s="0" t="s">
        <v>22</v>
      </c>
      <c r="E16" s="0" t="s">
        <v>3859</v>
      </c>
      <c r="F16" s="0" t="s">
        <v>3815</v>
      </c>
      <c r="G16" s="0" t="s">
        <v>118</v>
      </c>
      <c r="H16" s="0" t="s">
        <v>118</v>
      </c>
      <c r="I16" s="0" t="s">
        <v>119</v>
      </c>
      <c r="J16" s="0" t="s">
        <v>3860</v>
      </c>
      <c r="K16" s="0" t="s">
        <v>3861</v>
      </c>
      <c r="L16" s="0" t="s">
        <v>3862</v>
      </c>
      <c r="M16" s="0" t="s">
        <v>3863</v>
      </c>
      <c r="N16" s="0" t="s">
        <v>105</v>
      </c>
      <c r="O16" s="0" t="s">
        <v>3853</v>
      </c>
      <c r="P16" s="0" t="s">
        <v>3853</v>
      </c>
      <c r="Q16" s="0" t="s">
        <v>119</v>
      </c>
      <c r="R16" s="0" t="s">
        <v>3860</v>
      </c>
      <c r="S16" s="0" t="s">
        <v>3861</v>
      </c>
      <c r="T16" s="0" t="s">
        <v>3805</v>
      </c>
      <c r="U16" s="0" t="s">
        <v>3806</v>
      </c>
      <c r="V16" s="0" t="s">
        <v>713</v>
      </c>
      <c r="W16" s="0" t="s">
        <v>3807</v>
      </c>
      <c r="X16" s="0" t="s">
        <v>3854</v>
      </c>
      <c r="Y16" s="0" t="s">
        <v>3806</v>
      </c>
      <c r="Z16" s="0" t="s">
        <v>3864</v>
      </c>
      <c r="AA16" s="0" t="s">
        <v>3856</v>
      </c>
      <c r="AB16" s="0" t="s">
        <v>3865</v>
      </c>
      <c r="AC16" s="0" t="s">
        <v>64</v>
      </c>
      <c r="AD16" s="0" t="s">
        <v>19</v>
      </c>
      <c r="AE16" s="0" t="s">
        <v>19</v>
      </c>
      <c r="AF16" s="0" t="s">
        <v>3666</v>
      </c>
      <c r="AG16" s="0" t="s">
        <v>514</v>
      </c>
      <c r="AH16" s="0" t="s">
        <v>22</v>
      </c>
      <c r="AI16" s="0" t="s">
        <v>22</v>
      </c>
      <c r="AJ16" s="0" t="s">
        <v>22</v>
      </c>
      <c r="AK16" s="0" t="s">
        <v>22</v>
      </c>
    </row>
    <row customHeight="1" ht="11.25">
      <c r="A17" s="0" t="s">
        <v>22</v>
      </c>
      <c r="B17" s="0" t="s">
        <v>48</v>
      </c>
      <c r="C17" s="0" t="s">
        <v>50</v>
      </c>
      <c r="D17" s="0" t="s">
        <v>22</v>
      </c>
      <c r="E17" s="0" t="s">
        <v>3859</v>
      </c>
      <c r="F17" s="0" t="s">
        <v>3815</v>
      </c>
      <c r="G17" s="0" t="s">
        <v>118</v>
      </c>
      <c r="H17" s="0" t="s">
        <v>118</v>
      </c>
      <c r="I17" s="0" t="s">
        <v>119</v>
      </c>
      <c r="J17" s="0" t="s">
        <v>3860</v>
      </c>
      <c r="K17" s="0" t="s">
        <v>3861</v>
      </c>
      <c r="L17" s="0" t="s">
        <v>3862</v>
      </c>
      <c r="M17" s="0" t="s">
        <v>3863</v>
      </c>
      <c r="N17" s="0" t="s">
        <v>105</v>
      </c>
      <c r="O17" s="0" t="s">
        <v>3853</v>
      </c>
      <c r="P17" s="0" t="s">
        <v>3853</v>
      </c>
      <c r="Q17" s="0" t="s">
        <v>119</v>
      </c>
      <c r="R17" s="0" t="s">
        <v>3860</v>
      </c>
      <c r="S17" s="0" t="s">
        <v>3861</v>
      </c>
      <c r="T17" s="0" t="s">
        <v>3805</v>
      </c>
      <c r="U17" s="0" t="s">
        <v>3806</v>
      </c>
      <c r="V17" s="0" t="s">
        <v>713</v>
      </c>
      <c r="W17" s="0" t="s">
        <v>3807</v>
      </c>
      <c r="X17" s="0" t="s">
        <v>3854</v>
      </c>
      <c r="Y17" s="0" t="s">
        <v>3806</v>
      </c>
      <c r="Z17" s="0" t="s">
        <v>3864</v>
      </c>
      <c r="AA17" s="0" t="s">
        <v>3856</v>
      </c>
      <c r="AB17" s="0" t="s">
        <v>3865</v>
      </c>
      <c r="AC17" s="0" t="s">
        <v>64</v>
      </c>
      <c r="AD17" s="0" t="s">
        <v>19</v>
      </c>
      <c r="AE17" s="0" t="s">
        <v>19</v>
      </c>
      <c r="AF17" s="0" t="s">
        <v>3666</v>
      </c>
      <c r="AG17" s="0" t="s">
        <v>514</v>
      </c>
      <c r="AH17" s="0" t="s">
        <v>22</v>
      </c>
      <c r="AI17" s="0" t="s">
        <v>22</v>
      </c>
      <c r="AJ17" s="0" t="s">
        <v>22</v>
      </c>
      <c r="AK17" s="0" t="s">
        <v>22</v>
      </c>
    </row>
    <row customHeight="1" ht="11.25">
      <c r="A18" s="0" t="s">
        <v>22</v>
      </c>
      <c r="B18" s="0" t="s">
        <v>48</v>
      </c>
      <c r="C18" s="0" t="s">
        <v>50</v>
      </c>
      <c r="D18" s="0" t="s">
        <v>22</v>
      </c>
      <c r="E18" s="0" t="s">
        <v>3866</v>
      </c>
      <c r="F18" s="0" t="s">
        <v>3815</v>
      </c>
      <c r="G18" s="0" t="s">
        <v>118</v>
      </c>
      <c r="H18" s="0" t="s">
        <v>118</v>
      </c>
      <c r="I18" s="0" t="s">
        <v>119</v>
      </c>
      <c r="J18" s="0" t="s">
        <v>3850</v>
      </c>
      <c r="K18" s="0" t="s">
        <v>3851</v>
      </c>
      <c r="L18" s="0" t="s">
        <v>3867</v>
      </c>
      <c r="M18" s="0" t="s">
        <v>1887</v>
      </c>
      <c r="N18" s="0" t="s">
        <v>105</v>
      </c>
      <c r="O18" s="0" t="s">
        <v>3853</v>
      </c>
      <c r="P18" s="0" t="s">
        <v>3853</v>
      </c>
      <c r="Q18" s="0" t="s">
        <v>119</v>
      </c>
      <c r="R18" s="0" t="s">
        <v>3850</v>
      </c>
      <c r="S18" s="0" t="s">
        <v>3851</v>
      </c>
      <c r="T18" s="0" t="s">
        <v>3805</v>
      </c>
      <c r="U18" s="0" t="s">
        <v>3806</v>
      </c>
      <c r="V18" s="0" t="s">
        <v>713</v>
      </c>
      <c r="W18" s="0" t="s">
        <v>3807</v>
      </c>
      <c r="X18" s="0" t="s">
        <v>3854</v>
      </c>
      <c r="Y18" s="0" t="s">
        <v>3806</v>
      </c>
      <c r="Z18" s="0" t="s">
        <v>3868</v>
      </c>
      <c r="AA18" s="0" t="s">
        <v>3856</v>
      </c>
      <c r="AB18" s="0" t="s">
        <v>3869</v>
      </c>
      <c r="AC18" s="0" t="s">
        <v>64</v>
      </c>
      <c r="AD18" s="0" t="s">
        <v>19</v>
      </c>
      <c r="AE18" s="0" t="s">
        <v>19</v>
      </c>
      <c r="AF18" s="0" t="s">
        <v>3666</v>
      </c>
      <c r="AG18" s="0" t="s">
        <v>514</v>
      </c>
      <c r="AH18" s="0" t="s">
        <v>22</v>
      </c>
      <c r="AI18" s="0" t="s">
        <v>22</v>
      </c>
      <c r="AJ18" s="0" t="s">
        <v>22</v>
      </c>
      <c r="AK18" s="0" t="s">
        <v>22</v>
      </c>
    </row>
    <row customHeight="1" ht="11.25">
      <c r="A19" s="0" t="s">
        <v>22</v>
      </c>
      <c r="B19" s="0" t="s">
        <v>48</v>
      </c>
      <c r="C19" s="0" t="s">
        <v>50</v>
      </c>
      <c r="D19" s="0" t="s">
        <v>22</v>
      </c>
      <c r="E19" s="0" t="s">
        <v>3866</v>
      </c>
      <c r="F19" s="0" t="s">
        <v>3815</v>
      </c>
      <c r="G19" s="0" t="s">
        <v>118</v>
      </c>
      <c r="H19" s="0" t="s">
        <v>118</v>
      </c>
      <c r="I19" s="0" t="s">
        <v>119</v>
      </c>
      <c r="J19" s="0" t="s">
        <v>3850</v>
      </c>
      <c r="K19" s="0" t="s">
        <v>3851</v>
      </c>
      <c r="L19" s="0" t="s">
        <v>3867</v>
      </c>
      <c r="M19" s="0" t="s">
        <v>1887</v>
      </c>
      <c r="N19" s="0" t="s">
        <v>105</v>
      </c>
      <c r="O19" s="0" t="s">
        <v>3853</v>
      </c>
      <c r="P19" s="0" t="s">
        <v>3853</v>
      </c>
      <c r="Q19" s="0" t="s">
        <v>119</v>
      </c>
      <c r="R19" s="0" t="s">
        <v>3850</v>
      </c>
      <c r="S19" s="0" t="s">
        <v>3851</v>
      </c>
      <c r="T19" s="0" t="s">
        <v>3805</v>
      </c>
      <c r="U19" s="0" t="s">
        <v>3806</v>
      </c>
      <c r="V19" s="0" t="s">
        <v>713</v>
      </c>
      <c r="W19" s="0" t="s">
        <v>3807</v>
      </c>
      <c r="X19" s="0" t="s">
        <v>3854</v>
      </c>
      <c r="Y19" s="0" t="s">
        <v>3806</v>
      </c>
      <c r="Z19" s="0" t="s">
        <v>3868</v>
      </c>
      <c r="AA19" s="0" t="s">
        <v>3856</v>
      </c>
      <c r="AB19" s="0" t="s">
        <v>3869</v>
      </c>
      <c r="AC19" s="0" t="s">
        <v>64</v>
      </c>
      <c r="AD19" s="0" t="s">
        <v>19</v>
      </c>
      <c r="AE19" s="0" t="s">
        <v>19</v>
      </c>
      <c r="AF19" s="0" t="s">
        <v>3666</v>
      </c>
      <c r="AG19" s="0" t="s">
        <v>514</v>
      </c>
      <c r="AH19" s="0" t="s">
        <v>22</v>
      </c>
      <c r="AI19" s="0" t="s">
        <v>22</v>
      </c>
      <c r="AJ19" s="0" t="s">
        <v>22</v>
      </c>
      <c r="AK19" s="0" t="s">
        <v>22</v>
      </c>
    </row>
    <row customHeight="1" ht="11.25">
      <c r="A20" s="0" t="s">
        <v>22</v>
      </c>
      <c r="B20" s="0" t="s">
        <v>48</v>
      </c>
      <c r="C20" s="0" t="s">
        <v>50</v>
      </c>
      <c r="D20" s="0" t="s">
        <v>22</v>
      </c>
      <c r="E20" s="0" t="s">
        <v>3870</v>
      </c>
      <c r="F20" s="0" t="s">
        <v>1305</v>
      </c>
      <c r="G20" s="0" t="s">
        <v>99</v>
      </c>
      <c r="H20" s="0" t="s">
        <v>99</v>
      </c>
      <c r="I20" s="0" t="s">
        <v>100</v>
      </c>
      <c r="J20" s="0" t="s">
        <v>3871</v>
      </c>
      <c r="K20" s="0" t="s">
        <v>3872</v>
      </c>
      <c r="L20" s="0" t="s">
        <v>3873</v>
      </c>
      <c r="M20" s="0" t="s">
        <v>3845</v>
      </c>
      <c r="N20" s="0" t="s">
        <v>105</v>
      </c>
      <c r="O20" s="0" t="s">
        <v>99</v>
      </c>
      <c r="P20" s="0" t="s">
        <v>99</v>
      </c>
      <c r="Q20" s="0" t="s">
        <v>100</v>
      </c>
      <c r="R20" s="0" t="s">
        <v>3871</v>
      </c>
      <c r="S20" s="0" t="s">
        <v>3872</v>
      </c>
      <c r="T20" s="0" t="s">
        <v>3819</v>
      </c>
      <c r="U20" s="0" t="s">
        <v>3820</v>
      </c>
      <c r="V20" s="0" t="s">
        <v>713</v>
      </c>
      <c r="W20" s="0" t="s">
        <v>3807</v>
      </c>
      <c r="X20" s="0" t="s">
        <v>3821</v>
      </c>
      <c r="Y20" s="0" t="s">
        <v>3820</v>
      </c>
      <c r="Z20" s="0" t="s">
        <v>3874</v>
      </c>
      <c r="AA20" s="0" t="s">
        <v>3875</v>
      </c>
      <c r="AB20" s="0" t="s">
        <v>3840</v>
      </c>
      <c r="AC20" s="0" t="s">
        <v>64</v>
      </c>
      <c r="AD20" s="0" t="s">
        <v>19</v>
      </c>
      <c r="AE20" s="0" t="s">
        <v>64</v>
      </c>
      <c r="AF20" s="0" t="s">
        <v>167</v>
      </c>
      <c r="AG20" s="0" t="s">
        <v>3876</v>
      </c>
      <c r="AH20" s="0" t="s">
        <v>22</v>
      </c>
      <c r="AI20" s="0" t="s">
        <v>22</v>
      </c>
      <c r="AJ20" s="0" t="s">
        <v>167</v>
      </c>
      <c r="AK20" s="0" t="s">
        <v>3876</v>
      </c>
    </row>
    <row customHeight="1" ht="11.25">
      <c r="A21" s="0" t="s">
        <v>22</v>
      </c>
      <c r="B21" s="0" t="s">
        <v>48</v>
      </c>
      <c r="C21" s="0" t="s">
        <v>50</v>
      </c>
      <c r="D21" s="0" t="s">
        <v>22</v>
      </c>
      <c r="E21" s="0" t="s">
        <v>3870</v>
      </c>
      <c r="F21" s="0" t="s">
        <v>1305</v>
      </c>
      <c r="G21" s="0" t="s">
        <v>99</v>
      </c>
      <c r="H21" s="0" t="s">
        <v>99</v>
      </c>
      <c r="I21" s="0" t="s">
        <v>100</v>
      </c>
      <c r="J21" s="0" t="s">
        <v>3871</v>
      </c>
      <c r="K21" s="0" t="s">
        <v>3872</v>
      </c>
      <c r="L21" s="0" t="s">
        <v>3873</v>
      </c>
      <c r="M21" s="0" t="s">
        <v>3845</v>
      </c>
      <c r="N21" s="0" t="s">
        <v>105</v>
      </c>
      <c r="O21" s="0" t="s">
        <v>99</v>
      </c>
      <c r="P21" s="0" t="s">
        <v>99</v>
      </c>
      <c r="Q21" s="0" t="s">
        <v>100</v>
      </c>
      <c r="R21" s="0" t="s">
        <v>3871</v>
      </c>
      <c r="S21" s="0" t="s">
        <v>3872</v>
      </c>
      <c r="T21" s="0" t="s">
        <v>3819</v>
      </c>
      <c r="U21" s="0" t="s">
        <v>3820</v>
      </c>
      <c r="V21" s="0" t="s">
        <v>713</v>
      </c>
      <c r="W21" s="0" t="s">
        <v>3807</v>
      </c>
      <c r="X21" s="0" t="s">
        <v>3821</v>
      </c>
      <c r="Y21" s="0" t="s">
        <v>3820</v>
      </c>
      <c r="Z21" s="0" t="s">
        <v>3874</v>
      </c>
      <c r="AA21" s="0" t="s">
        <v>3875</v>
      </c>
      <c r="AB21" s="0" t="s">
        <v>3840</v>
      </c>
      <c r="AC21" s="0" t="s">
        <v>64</v>
      </c>
      <c r="AD21" s="0" t="s">
        <v>19</v>
      </c>
      <c r="AE21" s="0" t="s">
        <v>64</v>
      </c>
      <c r="AF21" s="0" t="s">
        <v>167</v>
      </c>
      <c r="AG21" s="0" t="s">
        <v>3876</v>
      </c>
      <c r="AH21" s="0" t="s">
        <v>22</v>
      </c>
      <c r="AI21" s="0" t="s">
        <v>22</v>
      </c>
      <c r="AJ21" s="0" t="s">
        <v>167</v>
      </c>
      <c r="AK21" s="0" t="s">
        <v>3876</v>
      </c>
    </row>
    <row customHeight="1" ht="11.25">
      <c r="A22" s="0" t="s">
        <v>22</v>
      </c>
      <c r="B22" s="0" t="s">
        <v>48</v>
      </c>
      <c r="C22" s="0" t="s">
        <v>50</v>
      </c>
      <c r="D22" s="0" t="s">
        <v>22</v>
      </c>
      <c r="E22" s="0" t="s">
        <v>3877</v>
      </c>
      <c r="F22" s="0" t="s">
        <v>1305</v>
      </c>
      <c r="G22" s="0" t="s">
        <v>99</v>
      </c>
      <c r="H22" s="0" t="s">
        <v>99</v>
      </c>
      <c r="I22" s="0" t="s">
        <v>100</v>
      </c>
      <c r="J22" s="0" t="s">
        <v>3878</v>
      </c>
      <c r="K22" s="0" t="s">
        <v>3879</v>
      </c>
      <c r="L22" s="0" t="s">
        <v>3818</v>
      </c>
      <c r="M22" s="0" t="s">
        <v>3818</v>
      </c>
      <c r="N22" s="0" t="s">
        <v>105</v>
      </c>
      <c r="O22" s="0" t="s">
        <v>99</v>
      </c>
      <c r="P22" s="0" t="s">
        <v>99</v>
      </c>
      <c r="Q22" s="0" t="s">
        <v>100</v>
      </c>
      <c r="R22" s="0" t="s">
        <v>3878</v>
      </c>
      <c r="S22" s="0" t="s">
        <v>3879</v>
      </c>
      <c r="T22" s="0" t="s">
        <v>3819</v>
      </c>
      <c r="U22" s="0" t="s">
        <v>3820</v>
      </c>
      <c r="V22" s="0" t="s">
        <v>713</v>
      </c>
      <c r="W22" s="0" t="s">
        <v>3807</v>
      </c>
      <c r="X22" s="0" t="s">
        <v>3821</v>
      </c>
      <c r="Y22" s="0" t="s">
        <v>3820</v>
      </c>
      <c r="Z22" s="0" t="s">
        <v>3846</v>
      </c>
      <c r="AA22" s="0" t="s">
        <v>3847</v>
      </c>
      <c r="AB22" s="0" t="s">
        <v>3840</v>
      </c>
      <c r="AC22" s="0" t="s">
        <v>64</v>
      </c>
      <c r="AD22" s="0" t="s">
        <v>19</v>
      </c>
      <c r="AE22" s="0" t="s">
        <v>64</v>
      </c>
      <c r="AF22" s="0" t="s">
        <v>2546</v>
      </c>
      <c r="AG22" s="0" t="s">
        <v>514</v>
      </c>
      <c r="AH22" s="0" t="s">
        <v>22</v>
      </c>
      <c r="AI22" s="0" t="s">
        <v>22</v>
      </c>
      <c r="AJ22" s="0" t="s">
        <v>2546</v>
      </c>
      <c r="AK22" s="0" t="s">
        <v>514</v>
      </c>
    </row>
    <row customHeight="1" ht="11.25">
      <c r="A23" s="0" t="s">
        <v>22</v>
      </c>
      <c r="B23" s="0" t="s">
        <v>48</v>
      </c>
      <c r="C23" s="0" t="s">
        <v>50</v>
      </c>
      <c r="D23" s="0" t="s">
        <v>22</v>
      </c>
      <c r="E23" s="0" t="s">
        <v>3877</v>
      </c>
      <c r="F23" s="0" t="s">
        <v>1305</v>
      </c>
      <c r="G23" s="0" t="s">
        <v>99</v>
      </c>
      <c r="H23" s="0" t="s">
        <v>99</v>
      </c>
      <c r="I23" s="0" t="s">
        <v>100</v>
      </c>
      <c r="J23" s="0" t="s">
        <v>3878</v>
      </c>
      <c r="K23" s="0" t="s">
        <v>3879</v>
      </c>
      <c r="L23" s="0" t="s">
        <v>3818</v>
      </c>
      <c r="M23" s="0" t="s">
        <v>3818</v>
      </c>
      <c r="N23" s="0" t="s">
        <v>105</v>
      </c>
      <c r="O23" s="0" t="s">
        <v>99</v>
      </c>
      <c r="P23" s="0" t="s">
        <v>99</v>
      </c>
      <c r="Q23" s="0" t="s">
        <v>100</v>
      </c>
      <c r="R23" s="0" t="s">
        <v>3878</v>
      </c>
      <c r="S23" s="0" t="s">
        <v>3879</v>
      </c>
      <c r="T23" s="0" t="s">
        <v>3819</v>
      </c>
      <c r="U23" s="0" t="s">
        <v>3820</v>
      </c>
      <c r="V23" s="0" t="s">
        <v>713</v>
      </c>
      <c r="W23" s="0" t="s">
        <v>3807</v>
      </c>
      <c r="X23" s="0" t="s">
        <v>3821</v>
      </c>
      <c r="Y23" s="0" t="s">
        <v>3820</v>
      </c>
      <c r="Z23" s="0" t="s">
        <v>3846</v>
      </c>
      <c r="AA23" s="0" t="s">
        <v>3847</v>
      </c>
      <c r="AB23" s="0" t="s">
        <v>3840</v>
      </c>
      <c r="AC23" s="0" t="s">
        <v>64</v>
      </c>
      <c r="AD23" s="0" t="s">
        <v>19</v>
      </c>
      <c r="AE23" s="0" t="s">
        <v>64</v>
      </c>
      <c r="AF23" s="0" t="s">
        <v>2546</v>
      </c>
      <c r="AG23" s="0" t="s">
        <v>514</v>
      </c>
      <c r="AH23" s="0" t="s">
        <v>22</v>
      </c>
      <c r="AI23" s="0" t="s">
        <v>22</v>
      </c>
      <c r="AJ23" s="0" t="s">
        <v>2546</v>
      </c>
      <c r="AK23" s="0" t="s">
        <v>514</v>
      </c>
    </row>
    <row customHeight="1" ht="11.25">
      <c r="A24" s="0" t="s">
        <v>22</v>
      </c>
      <c r="B24" s="0" t="s">
        <v>48</v>
      </c>
      <c r="C24" s="0" t="s">
        <v>50</v>
      </c>
      <c r="D24" s="0" t="s">
        <v>22</v>
      </c>
      <c r="E24" s="0" t="s">
        <v>3880</v>
      </c>
      <c r="F24" s="0" t="s">
        <v>1305</v>
      </c>
      <c r="G24" s="0" t="s">
        <v>1306</v>
      </c>
      <c r="H24" s="0" t="s">
        <v>1306</v>
      </c>
      <c r="I24" s="0" t="s">
        <v>1307</v>
      </c>
      <c r="J24" s="0" t="s">
        <v>1308</v>
      </c>
      <c r="K24" s="0" t="s">
        <v>1309</v>
      </c>
      <c r="L24" s="0" t="s">
        <v>1318</v>
      </c>
      <c r="M24" s="0" t="s">
        <v>3881</v>
      </c>
      <c r="N24" s="0" t="s">
        <v>105</v>
      </c>
      <c r="O24" s="0" t="s">
        <v>1306</v>
      </c>
      <c r="P24" s="0" t="s">
        <v>1306</v>
      </c>
      <c r="Q24" s="0" t="s">
        <v>1307</v>
      </c>
      <c r="R24" s="0" t="s">
        <v>1308</v>
      </c>
      <c r="S24" s="0" t="s">
        <v>1309</v>
      </c>
      <c r="T24" s="0" t="s">
        <v>3819</v>
      </c>
      <c r="U24" s="0" t="s">
        <v>3820</v>
      </c>
      <c r="V24" s="0" t="s">
        <v>713</v>
      </c>
      <c r="W24" s="0" t="s">
        <v>3807</v>
      </c>
      <c r="X24" s="0" t="s">
        <v>3821</v>
      </c>
      <c r="Y24" s="0" t="s">
        <v>3820</v>
      </c>
      <c r="Z24" s="0" t="s">
        <v>3882</v>
      </c>
      <c r="AA24" s="0" t="s">
        <v>3883</v>
      </c>
      <c r="AB24" s="0" t="s">
        <v>3840</v>
      </c>
      <c r="AC24" s="0" t="s">
        <v>64</v>
      </c>
      <c r="AD24" s="0" t="s">
        <v>19</v>
      </c>
      <c r="AE24" s="0" t="s">
        <v>64</v>
      </c>
      <c r="AF24" s="0" t="s">
        <v>1953</v>
      </c>
      <c r="AG24" s="0" t="s">
        <v>3884</v>
      </c>
      <c r="AH24" s="0" t="s">
        <v>22</v>
      </c>
      <c r="AI24" s="0" t="s">
        <v>22</v>
      </c>
      <c r="AJ24" s="0" t="s">
        <v>1953</v>
      </c>
      <c r="AK24" s="0" t="s">
        <v>3884</v>
      </c>
    </row>
    <row customHeight="1" ht="11.25">
      <c r="A25" s="0" t="s">
        <v>22</v>
      </c>
      <c r="B25" s="0" t="s">
        <v>48</v>
      </c>
      <c r="C25" s="0" t="s">
        <v>50</v>
      </c>
      <c r="D25" s="0" t="s">
        <v>22</v>
      </c>
      <c r="E25" s="0" t="s">
        <v>3880</v>
      </c>
      <c r="F25" s="0" t="s">
        <v>1305</v>
      </c>
      <c r="G25" s="0" t="s">
        <v>110</v>
      </c>
      <c r="H25" s="0" t="s">
        <v>111</v>
      </c>
      <c r="I25" s="0" t="s">
        <v>112</v>
      </c>
      <c r="J25" s="0" t="s">
        <v>1308</v>
      </c>
      <c r="K25" s="0" t="s">
        <v>3885</v>
      </c>
      <c r="L25" s="0" t="s">
        <v>1318</v>
      </c>
      <c r="M25" s="0" t="s">
        <v>3881</v>
      </c>
      <c r="N25" s="0" t="s">
        <v>105</v>
      </c>
      <c r="O25" s="0" t="s">
        <v>110</v>
      </c>
      <c r="P25" s="0" t="s">
        <v>111</v>
      </c>
      <c r="Q25" s="0" t="s">
        <v>112</v>
      </c>
      <c r="R25" s="0" t="s">
        <v>1308</v>
      </c>
      <c r="S25" s="0" t="s">
        <v>3885</v>
      </c>
      <c r="T25" s="0" t="s">
        <v>3819</v>
      </c>
      <c r="U25" s="0" t="s">
        <v>3820</v>
      </c>
      <c r="V25" s="0" t="s">
        <v>713</v>
      </c>
      <c r="W25" s="0" t="s">
        <v>3807</v>
      </c>
      <c r="X25" s="0" t="s">
        <v>3821</v>
      </c>
      <c r="Y25" s="0" t="s">
        <v>3820</v>
      </c>
      <c r="Z25" s="0" t="s">
        <v>3882</v>
      </c>
      <c r="AA25" s="0" t="s">
        <v>3883</v>
      </c>
      <c r="AB25" s="0" t="s">
        <v>3840</v>
      </c>
      <c r="AC25" s="0" t="s">
        <v>64</v>
      </c>
      <c r="AD25" s="0" t="s">
        <v>19</v>
      </c>
      <c r="AE25" s="0" t="s">
        <v>64</v>
      </c>
      <c r="AF25" s="0" t="s">
        <v>1953</v>
      </c>
      <c r="AG25" s="0" t="s">
        <v>3884</v>
      </c>
      <c r="AH25" s="0" t="s">
        <v>22</v>
      </c>
      <c r="AI25" s="0" t="s">
        <v>22</v>
      </c>
      <c r="AJ25" s="0" t="s">
        <v>1953</v>
      </c>
      <c r="AK25" s="0" t="s">
        <v>3884</v>
      </c>
    </row>
    <row customHeight="1" ht="11.25">
      <c r="A26" s="0" t="s">
        <v>22</v>
      </c>
      <c r="B26" s="0" t="s">
        <v>48</v>
      </c>
      <c r="C26" s="0" t="s">
        <v>50</v>
      </c>
      <c r="D26" s="0" t="s">
        <v>22</v>
      </c>
      <c r="E26" s="0" t="s">
        <v>3886</v>
      </c>
      <c r="F26" s="0" t="s">
        <v>1305</v>
      </c>
      <c r="G26" s="0" t="s">
        <v>99</v>
      </c>
      <c r="H26" s="0" t="s">
        <v>99</v>
      </c>
      <c r="I26" s="0" t="s">
        <v>100</v>
      </c>
      <c r="J26" s="0" t="s">
        <v>3887</v>
      </c>
      <c r="K26" s="0" t="s">
        <v>3888</v>
      </c>
      <c r="L26" s="0" t="s">
        <v>3889</v>
      </c>
      <c r="M26" s="0" t="s">
        <v>1938</v>
      </c>
      <c r="N26" s="0" t="s">
        <v>105</v>
      </c>
      <c r="O26" s="0" t="s">
        <v>99</v>
      </c>
      <c r="P26" s="0" t="s">
        <v>99</v>
      </c>
      <c r="Q26" s="0" t="s">
        <v>100</v>
      </c>
      <c r="R26" s="0" t="s">
        <v>3887</v>
      </c>
      <c r="S26" s="0" t="s">
        <v>3888</v>
      </c>
      <c r="T26" s="0" t="s">
        <v>3819</v>
      </c>
      <c r="U26" s="0" t="s">
        <v>3820</v>
      </c>
      <c r="V26" s="0" t="s">
        <v>713</v>
      </c>
      <c r="W26" s="0" t="s">
        <v>3807</v>
      </c>
      <c r="X26" s="0" t="s">
        <v>3821</v>
      </c>
      <c r="Y26" s="0" t="s">
        <v>3820</v>
      </c>
      <c r="Z26" s="0" t="s">
        <v>3890</v>
      </c>
      <c r="AA26" s="0" t="s">
        <v>3891</v>
      </c>
      <c r="AB26" s="0" t="s">
        <v>3840</v>
      </c>
      <c r="AC26" s="0" t="s">
        <v>64</v>
      </c>
      <c r="AD26" s="0" t="s">
        <v>19</v>
      </c>
      <c r="AE26" s="0" t="s">
        <v>64</v>
      </c>
      <c r="AF26" s="0" t="s">
        <v>3681</v>
      </c>
      <c r="AG26" s="0" t="s">
        <v>514</v>
      </c>
      <c r="AH26" s="0" t="s">
        <v>22</v>
      </c>
      <c r="AI26" s="0" t="s">
        <v>22</v>
      </c>
      <c r="AJ26" s="0" t="s">
        <v>3681</v>
      </c>
      <c r="AK26" s="0" t="s">
        <v>514</v>
      </c>
    </row>
    <row customHeight="1" ht="11.25">
      <c r="A27" s="0" t="s">
        <v>22</v>
      </c>
      <c r="B27" s="0" t="s">
        <v>48</v>
      </c>
      <c r="C27" s="0" t="s">
        <v>50</v>
      </c>
      <c r="D27" s="0" t="s">
        <v>22</v>
      </c>
      <c r="E27" s="0" t="s">
        <v>3886</v>
      </c>
      <c r="F27" s="0" t="s">
        <v>1305</v>
      </c>
      <c r="G27" s="0" t="s">
        <v>99</v>
      </c>
      <c r="H27" s="0" t="s">
        <v>99</v>
      </c>
      <c r="I27" s="0" t="s">
        <v>100</v>
      </c>
      <c r="J27" s="0" t="s">
        <v>3887</v>
      </c>
      <c r="K27" s="0" t="s">
        <v>3888</v>
      </c>
      <c r="L27" s="0" t="s">
        <v>3889</v>
      </c>
      <c r="M27" s="0" t="s">
        <v>1938</v>
      </c>
      <c r="N27" s="0" t="s">
        <v>105</v>
      </c>
      <c r="O27" s="0" t="s">
        <v>99</v>
      </c>
      <c r="P27" s="0" t="s">
        <v>99</v>
      </c>
      <c r="Q27" s="0" t="s">
        <v>100</v>
      </c>
      <c r="R27" s="0" t="s">
        <v>3887</v>
      </c>
      <c r="S27" s="0" t="s">
        <v>3888</v>
      </c>
      <c r="T27" s="0" t="s">
        <v>3819</v>
      </c>
      <c r="U27" s="0" t="s">
        <v>3820</v>
      </c>
      <c r="V27" s="0" t="s">
        <v>713</v>
      </c>
      <c r="W27" s="0" t="s">
        <v>3807</v>
      </c>
      <c r="X27" s="0" t="s">
        <v>3821</v>
      </c>
      <c r="Y27" s="0" t="s">
        <v>3820</v>
      </c>
      <c r="Z27" s="0" t="s">
        <v>3890</v>
      </c>
      <c r="AA27" s="0" t="s">
        <v>3891</v>
      </c>
      <c r="AB27" s="0" t="s">
        <v>3840</v>
      </c>
      <c r="AC27" s="0" t="s">
        <v>64</v>
      </c>
      <c r="AD27" s="0" t="s">
        <v>19</v>
      </c>
      <c r="AE27" s="0" t="s">
        <v>64</v>
      </c>
      <c r="AF27" s="0" t="s">
        <v>3681</v>
      </c>
      <c r="AG27" s="0" t="s">
        <v>514</v>
      </c>
      <c r="AH27" s="0" t="s">
        <v>22</v>
      </c>
      <c r="AI27" s="0" t="s">
        <v>22</v>
      </c>
      <c r="AJ27" s="0" t="s">
        <v>3681</v>
      </c>
      <c r="AK27" s="0" t="s">
        <v>514</v>
      </c>
    </row>
    <row customHeight="1" ht="11.25">
      <c r="A28" s="0" t="s">
        <v>22</v>
      </c>
      <c r="B28" s="0" t="s">
        <v>48</v>
      </c>
      <c r="C28" s="0" t="s">
        <v>50</v>
      </c>
      <c r="D28" s="0" t="s">
        <v>22</v>
      </c>
      <c r="E28" s="0" t="s">
        <v>3892</v>
      </c>
      <c r="F28" s="0" t="s">
        <v>1305</v>
      </c>
      <c r="G28" s="0" t="s">
        <v>123</v>
      </c>
      <c r="H28" s="0" t="s">
        <v>124</v>
      </c>
      <c r="I28" s="0" t="s">
        <v>125</v>
      </c>
      <c r="J28" s="0" t="s">
        <v>3893</v>
      </c>
      <c r="K28" s="0" t="s">
        <v>3894</v>
      </c>
      <c r="L28" s="0" t="s">
        <v>3818</v>
      </c>
      <c r="M28" s="0" t="s">
        <v>3818</v>
      </c>
      <c r="N28" s="0" t="s">
        <v>105</v>
      </c>
      <c r="O28" s="0" t="s">
        <v>123</v>
      </c>
      <c r="P28" s="0" t="s">
        <v>124</v>
      </c>
      <c r="Q28" s="0" t="s">
        <v>125</v>
      </c>
      <c r="R28" s="0" t="s">
        <v>3893</v>
      </c>
      <c r="S28" s="0" t="s">
        <v>3894</v>
      </c>
      <c r="T28" s="0" t="s">
        <v>3805</v>
      </c>
      <c r="U28" s="0" t="s">
        <v>3806</v>
      </c>
      <c r="V28" s="0" t="s">
        <v>713</v>
      </c>
      <c r="W28" s="0" t="s">
        <v>3807</v>
      </c>
      <c r="X28" s="0" t="s">
        <v>3808</v>
      </c>
      <c r="Y28" s="0" t="s">
        <v>3806</v>
      </c>
      <c r="Z28" s="0" t="s">
        <v>3809</v>
      </c>
      <c r="AA28" s="0" t="s">
        <v>3810</v>
      </c>
      <c r="AB28" s="0" t="s">
        <v>3811</v>
      </c>
      <c r="AC28" s="0" t="s">
        <v>64</v>
      </c>
      <c r="AD28" s="0" t="s">
        <v>19</v>
      </c>
      <c r="AE28" s="0" t="s">
        <v>64</v>
      </c>
      <c r="AF28" s="0" t="s">
        <v>3895</v>
      </c>
      <c r="AG28" s="0" t="s">
        <v>514</v>
      </c>
      <c r="AH28" s="0" t="s">
        <v>22</v>
      </c>
      <c r="AI28" s="0" t="s">
        <v>22</v>
      </c>
      <c r="AJ28" s="0" t="s">
        <v>3895</v>
      </c>
      <c r="AK28" s="0" t="s">
        <v>514</v>
      </c>
    </row>
    <row customHeight="1" ht="11.25">
      <c r="A29" s="0" t="s">
        <v>22</v>
      </c>
      <c r="B29" s="0" t="s">
        <v>48</v>
      </c>
      <c r="C29" s="0" t="s">
        <v>50</v>
      </c>
      <c r="D29" s="0" t="s">
        <v>22</v>
      </c>
      <c r="E29" s="0" t="s">
        <v>3892</v>
      </c>
      <c r="F29" s="0" t="s">
        <v>1305</v>
      </c>
      <c r="G29" s="0" t="s">
        <v>123</v>
      </c>
      <c r="H29" s="0" t="s">
        <v>124</v>
      </c>
      <c r="I29" s="0" t="s">
        <v>125</v>
      </c>
      <c r="J29" s="0" t="s">
        <v>3893</v>
      </c>
      <c r="K29" s="0" t="s">
        <v>3894</v>
      </c>
      <c r="L29" s="0" t="s">
        <v>3818</v>
      </c>
      <c r="M29" s="0" t="s">
        <v>3818</v>
      </c>
      <c r="N29" s="0" t="s">
        <v>105</v>
      </c>
      <c r="O29" s="0" t="s">
        <v>123</v>
      </c>
      <c r="P29" s="0" t="s">
        <v>124</v>
      </c>
      <c r="Q29" s="0" t="s">
        <v>125</v>
      </c>
      <c r="R29" s="0" t="s">
        <v>3893</v>
      </c>
      <c r="S29" s="0" t="s">
        <v>3894</v>
      </c>
      <c r="T29" s="0" t="s">
        <v>3805</v>
      </c>
      <c r="U29" s="0" t="s">
        <v>3806</v>
      </c>
      <c r="V29" s="0" t="s">
        <v>713</v>
      </c>
      <c r="W29" s="0" t="s">
        <v>3807</v>
      </c>
      <c r="X29" s="0" t="s">
        <v>3808</v>
      </c>
      <c r="Y29" s="0" t="s">
        <v>3806</v>
      </c>
      <c r="Z29" s="0" t="s">
        <v>3809</v>
      </c>
      <c r="AA29" s="0" t="s">
        <v>3810</v>
      </c>
      <c r="AB29" s="0" t="s">
        <v>3811</v>
      </c>
      <c r="AC29" s="0" t="s">
        <v>64</v>
      </c>
      <c r="AD29" s="0" t="s">
        <v>19</v>
      </c>
      <c r="AE29" s="0" t="s">
        <v>64</v>
      </c>
      <c r="AF29" s="0" t="s">
        <v>3895</v>
      </c>
      <c r="AG29" s="0" t="s">
        <v>514</v>
      </c>
      <c r="AH29" s="0" t="s">
        <v>22</v>
      </c>
      <c r="AI29" s="0" t="s">
        <v>22</v>
      </c>
      <c r="AJ29" s="0" t="s">
        <v>3895</v>
      </c>
      <c r="AK29" s="0" t="s">
        <v>514</v>
      </c>
    </row>
    <row customHeight="1" ht="11.25">
      <c r="A30" s="0" t="s">
        <v>22</v>
      </c>
      <c r="B30" s="0" t="s">
        <v>48</v>
      </c>
      <c r="C30" s="0" t="s">
        <v>50</v>
      </c>
      <c r="D30" s="0" t="s">
        <v>22</v>
      </c>
      <c r="E30" s="0" t="s">
        <v>1304</v>
      </c>
      <c r="F30" s="0" t="s">
        <v>1305</v>
      </c>
      <c r="G30" s="0" t="s">
        <v>1306</v>
      </c>
      <c r="H30" s="0" t="s">
        <v>1306</v>
      </c>
      <c r="I30" s="0" t="s">
        <v>1307</v>
      </c>
      <c r="J30" s="0" t="s">
        <v>1308</v>
      </c>
      <c r="K30" s="0" t="s">
        <v>1309</v>
      </c>
      <c r="L30" s="0" t="s">
        <v>1310</v>
      </c>
      <c r="M30" s="0" t="s">
        <v>1311</v>
      </c>
      <c r="N30" s="0" t="s">
        <v>105</v>
      </c>
      <c r="O30" s="0" t="s">
        <v>1306</v>
      </c>
      <c r="P30" s="0" t="s">
        <v>1306</v>
      </c>
      <c r="Q30" s="0" t="s">
        <v>1307</v>
      </c>
      <c r="R30" s="0" t="s">
        <v>1308</v>
      </c>
      <c r="S30" s="0" t="s">
        <v>1309</v>
      </c>
      <c r="T30" s="0" t="s">
        <v>3819</v>
      </c>
      <c r="U30" s="0" t="s">
        <v>3820</v>
      </c>
      <c r="V30" s="0" t="s">
        <v>713</v>
      </c>
      <c r="W30" s="0" t="s">
        <v>3807</v>
      </c>
      <c r="X30" s="0" t="s">
        <v>3821</v>
      </c>
      <c r="Y30" s="0" t="s">
        <v>3820</v>
      </c>
      <c r="Z30" s="0" t="s">
        <v>3882</v>
      </c>
      <c r="AA30" s="0" t="s">
        <v>3883</v>
      </c>
      <c r="AB30" s="0" t="s">
        <v>3840</v>
      </c>
      <c r="AC30" s="0" t="s">
        <v>64</v>
      </c>
      <c r="AD30" s="0" t="s">
        <v>19</v>
      </c>
      <c r="AE30" s="0" t="s">
        <v>64</v>
      </c>
      <c r="AF30" s="0" t="s">
        <v>3616</v>
      </c>
      <c r="AG30" s="0" t="s">
        <v>514</v>
      </c>
      <c r="AH30" s="0" t="s">
        <v>22</v>
      </c>
      <c r="AI30" s="0" t="s">
        <v>22</v>
      </c>
      <c r="AJ30" s="0" t="s">
        <v>3616</v>
      </c>
      <c r="AK30" s="0" t="s">
        <v>514</v>
      </c>
    </row>
    <row customHeight="1" ht="11.25">
      <c r="A31" s="0" t="s">
        <v>22</v>
      </c>
      <c r="B31" s="0" t="s">
        <v>48</v>
      </c>
      <c r="C31" s="0" t="s">
        <v>50</v>
      </c>
      <c r="D31" s="0" t="s">
        <v>22</v>
      </c>
      <c r="E31" s="0" t="s">
        <v>1304</v>
      </c>
      <c r="F31" s="0" t="s">
        <v>1305</v>
      </c>
      <c r="G31" s="0" t="s">
        <v>110</v>
      </c>
      <c r="H31" s="0" t="s">
        <v>111</v>
      </c>
      <c r="I31" s="0" t="s">
        <v>112</v>
      </c>
      <c r="J31" s="0" t="s">
        <v>1308</v>
      </c>
      <c r="K31" s="0" t="s">
        <v>3885</v>
      </c>
      <c r="L31" s="0" t="s">
        <v>1310</v>
      </c>
      <c r="M31" s="0" t="s">
        <v>1311</v>
      </c>
      <c r="N31" s="0" t="s">
        <v>105</v>
      </c>
      <c r="O31" s="0" t="s">
        <v>110</v>
      </c>
      <c r="P31" s="0" t="s">
        <v>111</v>
      </c>
      <c r="Q31" s="0" t="s">
        <v>112</v>
      </c>
      <c r="R31" s="0" t="s">
        <v>1308</v>
      </c>
      <c r="S31" s="0" t="s">
        <v>3885</v>
      </c>
      <c r="T31" s="0" t="s">
        <v>3819</v>
      </c>
      <c r="U31" s="0" t="s">
        <v>3820</v>
      </c>
      <c r="V31" s="0" t="s">
        <v>713</v>
      </c>
      <c r="W31" s="0" t="s">
        <v>3807</v>
      </c>
      <c r="X31" s="0" t="s">
        <v>3821</v>
      </c>
      <c r="Y31" s="0" t="s">
        <v>3820</v>
      </c>
      <c r="Z31" s="0" t="s">
        <v>3882</v>
      </c>
      <c r="AA31" s="0" t="s">
        <v>3883</v>
      </c>
      <c r="AB31" s="0" t="s">
        <v>3840</v>
      </c>
      <c r="AC31" s="0" t="s">
        <v>64</v>
      </c>
      <c r="AD31" s="0" t="s">
        <v>19</v>
      </c>
      <c r="AE31" s="0" t="s">
        <v>64</v>
      </c>
      <c r="AF31" s="0" t="s">
        <v>3616</v>
      </c>
      <c r="AG31" s="0" t="s">
        <v>514</v>
      </c>
      <c r="AH31" s="0" t="s">
        <v>22</v>
      </c>
      <c r="AI31" s="0" t="s">
        <v>22</v>
      </c>
      <c r="AJ31" s="0" t="s">
        <v>3616</v>
      </c>
      <c r="AK31" s="0" t="s">
        <v>514</v>
      </c>
    </row>
    <row customHeight="1" ht="11.25">
      <c r="A32" s="0" t="s">
        <v>22</v>
      </c>
      <c r="B32" s="0" t="s">
        <v>48</v>
      </c>
      <c r="C32" s="0" t="s">
        <v>50</v>
      </c>
      <c r="D32" s="0" t="s">
        <v>22</v>
      </c>
      <c r="E32" s="0" t="s">
        <v>3896</v>
      </c>
      <c r="F32" s="0" t="s">
        <v>1305</v>
      </c>
      <c r="G32" s="0" t="s">
        <v>150</v>
      </c>
      <c r="H32" s="0" t="s">
        <v>150</v>
      </c>
      <c r="I32" s="0" t="s">
        <v>151</v>
      </c>
      <c r="J32" s="0" t="s">
        <v>3897</v>
      </c>
      <c r="K32" s="0" t="s">
        <v>3898</v>
      </c>
      <c r="L32" s="0" t="s">
        <v>3899</v>
      </c>
      <c r="M32" s="0" t="s">
        <v>2005</v>
      </c>
      <c r="N32" s="0" t="s">
        <v>105</v>
      </c>
      <c r="O32" s="0" t="s">
        <v>150</v>
      </c>
      <c r="P32" s="0" t="s">
        <v>150</v>
      </c>
      <c r="Q32" s="0" t="s">
        <v>151</v>
      </c>
      <c r="R32" s="0" t="s">
        <v>3897</v>
      </c>
      <c r="S32" s="0" t="s">
        <v>3898</v>
      </c>
      <c r="T32" s="0" t="s">
        <v>3819</v>
      </c>
      <c r="U32" s="0" t="s">
        <v>3820</v>
      </c>
      <c r="V32" s="0" t="s">
        <v>713</v>
      </c>
      <c r="W32" s="0" t="s">
        <v>3807</v>
      </c>
      <c r="X32" s="0" t="s">
        <v>3821</v>
      </c>
      <c r="Y32" s="0" t="s">
        <v>3820</v>
      </c>
      <c r="Z32" s="0" t="s">
        <v>3900</v>
      </c>
      <c r="AA32" s="0" t="s">
        <v>3901</v>
      </c>
      <c r="AB32" s="0" t="s">
        <v>3902</v>
      </c>
      <c r="AC32" s="0" t="s">
        <v>64</v>
      </c>
      <c r="AD32" s="0" t="s">
        <v>19</v>
      </c>
      <c r="AE32" s="0" t="s">
        <v>64</v>
      </c>
      <c r="AF32" s="0" t="s">
        <v>3903</v>
      </c>
      <c r="AG32" s="0" t="s">
        <v>3904</v>
      </c>
      <c r="AH32" s="0" t="s">
        <v>22</v>
      </c>
      <c r="AI32" s="0" t="s">
        <v>22</v>
      </c>
      <c r="AJ32" s="0" t="s">
        <v>3905</v>
      </c>
      <c r="AK32" s="0" t="s">
        <v>514</v>
      </c>
    </row>
    <row customHeight="1" ht="11.25">
      <c r="A33" s="0" t="s">
        <v>22</v>
      </c>
      <c r="B33" s="0" t="s">
        <v>48</v>
      </c>
      <c r="C33" s="0" t="s">
        <v>50</v>
      </c>
      <c r="D33" s="0" t="s">
        <v>22</v>
      </c>
      <c r="E33" s="0" t="s">
        <v>3896</v>
      </c>
      <c r="F33" s="0" t="s">
        <v>1305</v>
      </c>
      <c r="G33" s="0" t="s">
        <v>150</v>
      </c>
      <c r="H33" s="0" t="s">
        <v>150</v>
      </c>
      <c r="I33" s="0" t="s">
        <v>151</v>
      </c>
      <c r="J33" s="0" t="s">
        <v>3897</v>
      </c>
      <c r="K33" s="0" t="s">
        <v>3898</v>
      </c>
      <c r="L33" s="0" t="s">
        <v>3899</v>
      </c>
      <c r="M33" s="0" t="s">
        <v>2005</v>
      </c>
      <c r="N33" s="0" t="s">
        <v>105</v>
      </c>
      <c r="O33" s="0" t="s">
        <v>150</v>
      </c>
      <c r="P33" s="0" t="s">
        <v>150</v>
      </c>
      <c r="Q33" s="0" t="s">
        <v>151</v>
      </c>
      <c r="R33" s="0" t="s">
        <v>3897</v>
      </c>
      <c r="S33" s="0" t="s">
        <v>3898</v>
      </c>
      <c r="T33" s="0" t="s">
        <v>3819</v>
      </c>
      <c r="U33" s="0" t="s">
        <v>3820</v>
      </c>
      <c r="V33" s="0" t="s">
        <v>713</v>
      </c>
      <c r="W33" s="0" t="s">
        <v>3807</v>
      </c>
      <c r="X33" s="0" t="s">
        <v>3821</v>
      </c>
      <c r="Y33" s="0" t="s">
        <v>3820</v>
      </c>
      <c r="Z33" s="0" t="s">
        <v>3900</v>
      </c>
      <c r="AA33" s="0" t="s">
        <v>3901</v>
      </c>
      <c r="AB33" s="0" t="s">
        <v>3902</v>
      </c>
      <c r="AC33" s="0" t="s">
        <v>64</v>
      </c>
      <c r="AD33" s="0" t="s">
        <v>19</v>
      </c>
      <c r="AE33" s="0" t="s">
        <v>64</v>
      </c>
      <c r="AF33" s="0" t="s">
        <v>3903</v>
      </c>
      <c r="AG33" s="0" t="s">
        <v>3904</v>
      </c>
      <c r="AH33" s="0" t="s">
        <v>22</v>
      </c>
      <c r="AI33" s="0" t="s">
        <v>22</v>
      </c>
      <c r="AJ33" s="0" t="s">
        <v>3905</v>
      </c>
      <c r="AK33" s="0" t="s">
        <v>514</v>
      </c>
    </row>
    <row customHeight="1" ht="11.25">
      <c r="A34" s="0" t="s">
        <v>22</v>
      </c>
      <c r="B34" s="0" t="s">
        <v>48</v>
      </c>
      <c r="C34" s="0" t="s">
        <v>50</v>
      </c>
      <c r="D34" s="0" t="s">
        <v>22</v>
      </c>
      <c r="E34" s="0" t="s">
        <v>3906</v>
      </c>
      <c r="F34" s="0" t="s">
        <v>3907</v>
      </c>
      <c r="G34" s="0" t="s">
        <v>127</v>
      </c>
      <c r="H34" s="0" t="s">
        <v>127</v>
      </c>
      <c r="I34" s="0" t="s">
        <v>128</v>
      </c>
      <c r="J34" s="0" t="s">
        <v>3908</v>
      </c>
      <c r="K34" s="0" t="s">
        <v>3909</v>
      </c>
      <c r="L34" s="0" t="s">
        <v>3910</v>
      </c>
      <c r="M34" s="0" t="s">
        <v>3818</v>
      </c>
      <c r="N34" s="0" t="s">
        <v>105</v>
      </c>
      <c r="O34" s="0" t="s">
        <v>127</v>
      </c>
      <c r="P34" s="0" t="s">
        <v>127</v>
      </c>
      <c r="Q34" s="0" t="s">
        <v>128</v>
      </c>
      <c r="R34" s="0" t="s">
        <v>3908</v>
      </c>
      <c r="S34" s="0" t="s">
        <v>3909</v>
      </c>
      <c r="T34" s="0" t="s">
        <v>3805</v>
      </c>
      <c r="U34" s="0" t="s">
        <v>3806</v>
      </c>
      <c r="V34" s="0" t="s">
        <v>713</v>
      </c>
      <c r="W34" s="0" t="s">
        <v>3807</v>
      </c>
      <c r="X34" s="0" t="s">
        <v>3854</v>
      </c>
      <c r="Y34" s="0" t="s">
        <v>3806</v>
      </c>
      <c r="Z34" s="0" t="s">
        <v>3911</v>
      </c>
      <c r="AA34" s="0" t="s">
        <v>3912</v>
      </c>
      <c r="AB34" s="0" t="s">
        <v>3913</v>
      </c>
      <c r="AC34" s="0" t="s">
        <v>64</v>
      </c>
      <c r="AD34" s="0" t="s">
        <v>64</v>
      </c>
      <c r="AE34" s="0" t="s">
        <v>64</v>
      </c>
      <c r="AF34" s="0" t="s">
        <v>167</v>
      </c>
      <c r="AG34" s="0" t="s">
        <v>3914</v>
      </c>
      <c r="AH34" s="0" t="s">
        <v>167</v>
      </c>
      <c r="AI34" s="0" t="s">
        <v>3914</v>
      </c>
      <c r="AJ34" s="0" t="s">
        <v>167</v>
      </c>
      <c r="AK34" s="0" t="s">
        <v>3914</v>
      </c>
    </row>
    <row customHeight="1" ht="11.25">
      <c r="A35" s="0" t="s">
        <v>22</v>
      </c>
      <c r="B35" s="0" t="s">
        <v>48</v>
      </c>
      <c r="C35" s="0" t="s">
        <v>50</v>
      </c>
      <c r="D35" s="0" t="s">
        <v>22</v>
      </c>
      <c r="E35" s="0" t="s">
        <v>3906</v>
      </c>
      <c r="F35" s="0" t="s">
        <v>3907</v>
      </c>
      <c r="G35" s="0" t="s">
        <v>127</v>
      </c>
      <c r="H35" s="0" t="s">
        <v>127</v>
      </c>
      <c r="I35" s="0" t="s">
        <v>128</v>
      </c>
      <c r="J35" s="0" t="s">
        <v>3908</v>
      </c>
      <c r="K35" s="0" t="s">
        <v>3909</v>
      </c>
      <c r="L35" s="0" t="s">
        <v>3910</v>
      </c>
      <c r="M35" s="0" t="s">
        <v>3818</v>
      </c>
      <c r="N35" s="0" t="s">
        <v>105</v>
      </c>
      <c r="O35" s="0" t="s">
        <v>127</v>
      </c>
      <c r="P35" s="0" t="s">
        <v>127</v>
      </c>
      <c r="Q35" s="0" t="s">
        <v>128</v>
      </c>
      <c r="R35" s="0" t="s">
        <v>3908</v>
      </c>
      <c r="S35" s="0" t="s">
        <v>3909</v>
      </c>
      <c r="T35" s="0" t="s">
        <v>3805</v>
      </c>
      <c r="U35" s="0" t="s">
        <v>3806</v>
      </c>
      <c r="V35" s="0" t="s">
        <v>713</v>
      </c>
      <c r="W35" s="0" t="s">
        <v>3807</v>
      </c>
      <c r="X35" s="0" t="s">
        <v>3854</v>
      </c>
      <c r="Y35" s="0" t="s">
        <v>3806</v>
      </c>
      <c r="Z35" s="0" t="s">
        <v>3911</v>
      </c>
      <c r="AA35" s="0" t="s">
        <v>3912</v>
      </c>
      <c r="AB35" s="0" t="s">
        <v>3913</v>
      </c>
      <c r="AC35" s="0" t="s">
        <v>64</v>
      </c>
      <c r="AD35" s="0" t="s">
        <v>64</v>
      </c>
      <c r="AE35" s="0" t="s">
        <v>64</v>
      </c>
      <c r="AF35" s="0" t="s">
        <v>167</v>
      </c>
      <c r="AG35" s="0" t="s">
        <v>3914</v>
      </c>
      <c r="AH35" s="0" t="s">
        <v>167</v>
      </c>
      <c r="AI35" s="0" t="s">
        <v>3914</v>
      </c>
      <c r="AJ35" s="0" t="s">
        <v>167</v>
      </c>
      <c r="AK35" s="0" t="s">
        <v>3914</v>
      </c>
    </row>
    <row customHeight="1" ht="11.25">
      <c r="A36" s="0" t="s">
        <v>22</v>
      </c>
      <c r="B36" s="0" t="s">
        <v>48</v>
      </c>
      <c r="C36" s="0" t="s">
        <v>50</v>
      </c>
      <c r="D36" s="0" t="s">
        <v>22</v>
      </c>
      <c r="E36" s="0" t="s">
        <v>3915</v>
      </c>
      <c r="F36" s="0" t="s">
        <v>3815</v>
      </c>
      <c r="G36" s="0" t="s">
        <v>136</v>
      </c>
      <c r="H36" s="0" t="s">
        <v>136</v>
      </c>
      <c r="I36" s="0" t="s">
        <v>137</v>
      </c>
      <c r="J36" s="0" t="s">
        <v>3916</v>
      </c>
      <c r="K36" s="0" t="s">
        <v>3917</v>
      </c>
      <c r="L36" s="0" t="s">
        <v>3918</v>
      </c>
      <c r="M36" s="0" t="s">
        <v>3919</v>
      </c>
      <c r="N36" s="0" t="s">
        <v>105</v>
      </c>
      <c r="O36" s="0" t="s">
        <v>136</v>
      </c>
      <c r="P36" s="0" t="s">
        <v>136</v>
      </c>
      <c r="Q36" s="0" t="s">
        <v>137</v>
      </c>
      <c r="R36" s="0" t="s">
        <v>3916</v>
      </c>
      <c r="S36" s="0" t="s">
        <v>3917</v>
      </c>
      <c r="T36" s="0" t="s">
        <v>3819</v>
      </c>
      <c r="U36" s="0" t="s">
        <v>3820</v>
      </c>
      <c r="V36" s="0" t="s">
        <v>713</v>
      </c>
      <c r="W36" s="0" t="s">
        <v>3807</v>
      </c>
      <c r="X36" s="0" t="s">
        <v>3821</v>
      </c>
      <c r="Y36" s="0" t="s">
        <v>3820</v>
      </c>
      <c r="Z36" s="0" t="s">
        <v>3920</v>
      </c>
      <c r="AA36" s="0" t="s">
        <v>3921</v>
      </c>
      <c r="AB36" s="0" t="s">
        <v>3922</v>
      </c>
      <c r="AC36" s="0" t="s">
        <v>64</v>
      </c>
      <c r="AD36" s="0" t="s">
        <v>19</v>
      </c>
      <c r="AE36" s="0" t="s">
        <v>19</v>
      </c>
      <c r="AF36" s="0" t="s">
        <v>3923</v>
      </c>
      <c r="AG36" s="0" t="s">
        <v>3923</v>
      </c>
      <c r="AH36" s="0" t="s">
        <v>22</v>
      </c>
      <c r="AI36" s="0" t="s">
        <v>22</v>
      </c>
      <c r="AJ36" s="0" t="s">
        <v>22</v>
      </c>
      <c r="AK36" s="0" t="s">
        <v>22</v>
      </c>
    </row>
    <row customHeight="1" ht="11.25">
      <c r="A37" s="0" t="s">
        <v>22</v>
      </c>
      <c r="B37" s="0" t="s">
        <v>48</v>
      </c>
      <c r="C37" s="0" t="s">
        <v>50</v>
      </c>
      <c r="D37" s="0" t="s">
        <v>22</v>
      </c>
      <c r="E37" s="0" t="s">
        <v>3915</v>
      </c>
      <c r="F37" s="0" t="s">
        <v>3815</v>
      </c>
      <c r="G37" s="0" t="s">
        <v>139</v>
      </c>
      <c r="H37" s="0" t="s">
        <v>140</v>
      </c>
      <c r="I37" s="0" t="s">
        <v>141</v>
      </c>
      <c r="J37" s="0" t="s">
        <v>3916</v>
      </c>
      <c r="K37" s="0" t="s">
        <v>3924</v>
      </c>
      <c r="L37" s="0" t="s">
        <v>3918</v>
      </c>
      <c r="M37" s="0" t="s">
        <v>3919</v>
      </c>
      <c r="N37" s="0" t="s">
        <v>105</v>
      </c>
      <c r="O37" s="0" t="s">
        <v>139</v>
      </c>
      <c r="P37" s="0" t="s">
        <v>140</v>
      </c>
      <c r="Q37" s="0" t="s">
        <v>141</v>
      </c>
      <c r="R37" s="0" t="s">
        <v>3916</v>
      </c>
      <c r="S37" s="0" t="s">
        <v>3924</v>
      </c>
      <c r="T37" s="0" t="s">
        <v>3819</v>
      </c>
      <c r="U37" s="0" t="s">
        <v>3820</v>
      </c>
      <c r="V37" s="0" t="s">
        <v>713</v>
      </c>
      <c r="W37" s="0" t="s">
        <v>3807</v>
      </c>
      <c r="X37" s="0" t="s">
        <v>3821</v>
      </c>
      <c r="Y37" s="0" t="s">
        <v>3820</v>
      </c>
      <c r="Z37" s="0" t="s">
        <v>3920</v>
      </c>
      <c r="AA37" s="0" t="s">
        <v>3921</v>
      </c>
      <c r="AB37" s="0" t="s">
        <v>3922</v>
      </c>
      <c r="AC37" s="0" t="s">
        <v>64</v>
      </c>
      <c r="AD37" s="0" t="s">
        <v>19</v>
      </c>
      <c r="AE37" s="0" t="s">
        <v>19</v>
      </c>
      <c r="AF37" s="0" t="s">
        <v>3923</v>
      </c>
      <c r="AG37" s="0" t="s">
        <v>3923</v>
      </c>
      <c r="AH37" s="0" t="s">
        <v>22</v>
      </c>
      <c r="AI37" s="0" t="s">
        <v>22</v>
      </c>
      <c r="AJ37" s="0" t="s">
        <v>22</v>
      </c>
      <c r="AK37" s="0" t="s">
        <v>22</v>
      </c>
    </row>
    <row customHeight="1" ht="11.25">
      <c r="A38" s="0" t="s">
        <v>22</v>
      </c>
      <c r="B38" s="0" t="s">
        <v>48</v>
      </c>
      <c r="C38" s="0" t="s">
        <v>50</v>
      </c>
      <c r="D38" s="0" t="s">
        <v>22</v>
      </c>
      <c r="E38" s="0" t="s">
        <v>3925</v>
      </c>
      <c r="F38" s="0" t="s">
        <v>3926</v>
      </c>
      <c r="G38" s="0" t="s">
        <v>3699</v>
      </c>
      <c r="H38" s="0" t="s">
        <v>3699</v>
      </c>
      <c r="I38" s="0" t="s">
        <v>3700</v>
      </c>
      <c r="J38" s="0" t="s">
        <v>3927</v>
      </c>
      <c r="K38" s="0" t="s">
        <v>3928</v>
      </c>
      <c r="L38" s="0" t="s">
        <v>3929</v>
      </c>
      <c r="M38" s="0" t="s">
        <v>3818</v>
      </c>
      <c r="N38" s="0" t="s">
        <v>105</v>
      </c>
      <c r="O38" s="0" t="s">
        <v>3699</v>
      </c>
      <c r="P38" s="0" t="s">
        <v>3699</v>
      </c>
      <c r="Q38" s="0" t="s">
        <v>3700</v>
      </c>
      <c r="R38" s="0" t="s">
        <v>3927</v>
      </c>
      <c r="S38" s="0" t="s">
        <v>3928</v>
      </c>
      <c r="T38" s="0" t="s">
        <v>3819</v>
      </c>
      <c r="U38" s="0" t="s">
        <v>3820</v>
      </c>
      <c r="V38" s="0" t="s">
        <v>3930</v>
      </c>
      <c r="W38" s="0" t="s">
        <v>3807</v>
      </c>
      <c r="X38" s="0" t="s">
        <v>3821</v>
      </c>
      <c r="Y38" s="0" t="s">
        <v>3820</v>
      </c>
      <c r="Z38" s="0" t="s">
        <v>3931</v>
      </c>
      <c r="AA38" s="0" t="s">
        <v>3932</v>
      </c>
      <c r="AB38" s="0" t="s">
        <v>3930</v>
      </c>
      <c r="AC38" s="0" t="s">
        <v>19</v>
      </c>
      <c r="AD38" s="0" t="s">
        <v>19</v>
      </c>
      <c r="AE38" s="0" t="s">
        <v>64</v>
      </c>
      <c r="AF38" s="0" t="s">
        <v>22</v>
      </c>
      <c r="AG38" s="0" t="s">
        <v>22</v>
      </c>
      <c r="AH38" s="0" t="s">
        <v>22</v>
      </c>
      <c r="AI38" s="0" t="s">
        <v>22</v>
      </c>
      <c r="AJ38" s="0" t="s">
        <v>3923</v>
      </c>
      <c r="AK38" s="0" t="s">
        <v>3933</v>
      </c>
    </row>
    <row customHeight="1" ht="11.25">
      <c r="A39" s="0" t="s">
        <v>22</v>
      </c>
      <c r="B39" s="0" t="s">
        <v>48</v>
      </c>
      <c r="C39" s="0" t="s">
        <v>50</v>
      </c>
      <c r="D39" s="0" t="s">
        <v>22</v>
      </c>
      <c r="E39" s="0" t="s">
        <v>3925</v>
      </c>
      <c r="F39" s="0" t="s">
        <v>3926</v>
      </c>
      <c r="G39" s="0" t="s">
        <v>168</v>
      </c>
      <c r="H39" s="0" t="s">
        <v>169</v>
      </c>
      <c r="I39" s="0" t="s">
        <v>170</v>
      </c>
      <c r="J39" s="0" t="s">
        <v>3927</v>
      </c>
      <c r="K39" s="0" t="s">
        <v>3934</v>
      </c>
      <c r="L39" s="0" t="s">
        <v>3929</v>
      </c>
      <c r="M39" s="0" t="s">
        <v>3818</v>
      </c>
      <c r="N39" s="0" t="s">
        <v>105</v>
      </c>
      <c r="O39" s="0" t="s">
        <v>168</v>
      </c>
      <c r="P39" s="0" t="s">
        <v>169</v>
      </c>
      <c r="Q39" s="0" t="s">
        <v>170</v>
      </c>
      <c r="R39" s="0" t="s">
        <v>3927</v>
      </c>
      <c r="S39" s="0" t="s">
        <v>3934</v>
      </c>
      <c r="T39" s="0" t="s">
        <v>3819</v>
      </c>
      <c r="U39" s="0" t="s">
        <v>3820</v>
      </c>
      <c r="V39" s="0" t="s">
        <v>3930</v>
      </c>
      <c r="W39" s="0" t="s">
        <v>3807</v>
      </c>
      <c r="X39" s="0" t="s">
        <v>3821</v>
      </c>
      <c r="Y39" s="0" t="s">
        <v>3820</v>
      </c>
      <c r="Z39" s="0" t="s">
        <v>3931</v>
      </c>
      <c r="AA39" s="0" t="s">
        <v>3932</v>
      </c>
      <c r="AB39" s="0" t="s">
        <v>3930</v>
      </c>
      <c r="AC39" s="0" t="s">
        <v>19</v>
      </c>
      <c r="AD39" s="0" t="s">
        <v>19</v>
      </c>
      <c r="AE39" s="0" t="s">
        <v>64</v>
      </c>
      <c r="AF39" s="0" t="s">
        <v>22</v>
      </c>
      <c r="AG39" s="0" t="s">
        <v>22</v>
      </c>
      <c r="AH39" s="0" t="s">
        <v>22</v>
      </c>
      <c r="AI39" s="0" t="s">
        <v>22</v>
      </c>
      <c r="AJ39" s="0" t="s">
        <v>3923</v>
      </c>
      <c r="AK39" s="0" t="s">
        <v>3933</v>
      </c>
    </row>
    <row customHeight="1" ht="11.25">
      <c r="A40" s="0" t="s">
        <v>22</v>
      </c>
      <c r="B40" s="0" t="s">
        <v>48</v>
      </c>
      <c r="C40" s="0" t="s">
        <v>50</v>
      </c>
      <c r="D40" s="0" t="s">
        <v>22</v>
      </c>
      <c r="E40" s="0" t="s">
        <v>3935</v>
      </c>
      <c r="F40" s="0" t="s">
        <v>3926</v>
      </c>
      <c r="G40" s="0" t="s">
        <v>99</v>
      </c>
      <c r="H40" s="0" t="s">
        <v>99</v>
      </c>
      <c r="I40" s="0" t="s">
        <v>100</v>
      </c>
      <c r="J40" s="0" t="s">
        <v>3936</v>
      </c>
      <c r="K40" s="0" t="s">
        <v>3937</v>
      </c>
      <c r="L40" s="0" t="s">
        <v>954</v>
      </c>
      <c r="M40" s="0" t="s">
        <v>954</v>
      </c>
      <c r="N40" s="0" t="s">
        <v>105</v>
      </c>
      <c r="O40" s="0" t="s">
        <v>99</v>
      </c>
      <c r="P40" s="0" t="s">
        <v>99</v>
      </c>
      <c r="Q40" s="0" t="s">
        <v>100</v>
      </c>
      <c r="R40" s="0" t="s">
        <v>3936</v>
      </c>
      <c r="S40" s="0" t="s">
        <v>3937</v>
      </c>
      <c r="T40" s="0" t="s">
        <v>3938</v>
      </c>
      <c r="U40" s="0" t="s">
        <v>3939</v>
      </c>
      <c r="V40" s="0" t="s">
        <v>3940</v>
      </c>
      <c r="W40" s="0" t="s">
        <v>3807</v>
      </c>
      <c r="X40" s="0" t="s">
        <v>3821</v>
      </c>
      <c r="Y40" s="0" t="s">
        <v>3820</v>
      </c>
      <c r="Z40" s="0" t="s">
        <v>3846</v>
      </c>
      <c r="AA40" s="0" t="s">
        <v>3847</v>
      </c>
      <c r="AB40" s="0" t="s">
        <v>3940</v>
      </c>
      <c r="AC40" s="0" t="s">
        <v>19</v>
      </c>
      <c r="AD40" s="0" t="s">
        <v>19</v>
      </c>
      <c r="AE40" s="0" t="s">
        <v>64</v>
      </c>
      <c r="AF40" s="0" t="s">
        <v>22</v>
      </c>
      <c r="AG40" s="0" t="s">
        <v>22</v>
      </c>
      <c r="AH40" s="0" t="s">
        <v>22</v>
      </c>
      <c r="AI40" s="0" t="s">
        <v>22</v>
      </c>
      <c r="AJ40" s="0" t="s">
        <v>3616</v>
      </c>
      <c r="AK40" s="0" t="s">
        <v>3941</v>
      </c>
    </row>
    <row customHeight="1" ht="11.25">
      <c r="A41" s="0" t="s">
        <v>22</v>
      </c>
      <c r="B41" s="0" t="s">
        <v>48</v>
      </c>
      <c r="C41" s="0" t="s">
        <v>50</v>
      </c>
      <c r="D41" s="0" t="s">
        <v>22</v>
      </c>
      <c r="E41" s="0" t="s">
        <v>3935</v>
      </c>
      <c r="F41" s="0" t="s">
        <v>3926</v>
      </c>
      <c r="G41" s="0" t="s">
        <v>99</v>
      </c>
      <c r="H41" s="0" t="s">
        <v>99</v>
      </c>
      <c r="I41" s="0" t="s">
        <v>100</v>
      </c>
      <c r="J41" s="0" t="s">
        <v>3936</v>
      </c>
      <c r="K41" s="0" t="s">
        <v>3937</v>
      </c>
      <c r="L41" s="0" t="s">
        <v>954</v>
      </c>
      <c r="M41" s="0" t="s">
        <v>954</v>
      </c>
      <c r="N41" s="0" t="s">
        <v>105</v>
      </c>
      <c r="O41" s="0" t="s">
        <v>99</v>
      </c>
      <c r="P41" s="0" t="s">
        <v>99</v>
      </c>
      <c r="Q41" s="0" t="s">
        <v>100</v>
      </c>
      <c r="R41" s="0" t="s">
        <v>3936</v>
      </c>
      <c r="S41" s="0" t="s">
        <v>3937</v>
      </c>
      <c r="T41" s="0" t="s">
        <v>3938</v>
      </c>
      <c r="U41" s="0" t="s">
        <v>3939</v>
      </c>
      <c r="V41" s="0" t="s">
        <v>3940</v>
      </c>
      <c r="W41" s="0" t="s">
        <v>3807</v>
      </c>
      <c r="X41" s="0" t="s">
        <v>3821</v>
      </c>
      <c r="Y41" s="0" t="s">
        <v>3820</v>
      </c>
      <c r="Z41" s="0" t="s">
        <v>3846</v>
      </c>
      <c r="AA41" s="0" t="s">
        <v>3847</v>
      </c>
      <c r="AB41" s="0" t="s">
        <v>3940</v>
      </c>
      <c r="AC41" s="0" t="s">
        <v>19</v>
      </c>
      <c r="AD41" s="0" t="s">
        <v>19</v>
      </c>
      <c r="AE41" s="0" t="s">
        <v>64</v>
      </c>
      <c r="AF41" s="0" t="s">
        <v>22</v>
      </c>
      <c r="AG41" s="0" t="s">
        <v>22</v>
      </c>
      <c r="AH41" s="0" t="s">
        <v>22</v>
      </c>
      <c r="AI41" s="0" t="s">
        <v>22</v>
      </c>
      <c r="AJ41" s="0" t="s">
        <v>3616</v>
      </c>
      <c r="AK41" s="0" t="s">
        <v>3942</v>
      </c>
    </row>
    <row customHeight="1" ht="11.25">
      <c r="A42" s="0" t="s">
        <v>22</v>
      </c>
      <c r="B42" s="0" t="s">
        <v>48</v>
      </c>
      <c r="C42" s="0" t="s">
        <v>50</v>
      </c>
      <c r="D42" s="0" t="s">
        <v>22</v>
      </c>
      <c r="E42" s="0" t="s">
        <v>3943</v>
      </c>
      <c r="F42" s="0" t="s">
        <v>3926</v>
      </c>
      <c r="G42" s="0" t="s">
        <v>118</v>
      </c>
      <c r="H42" s="0" t="s">
        <v>118</v>
      </c>
      <c r="I42" s="0" t="s">
        <v>119</v>
      </c>
      <c r="J42" s="0" t="s">
        <v>3944</v>
      </c>
      <c r="K42" s="0" t="s">
        <v>3945</v>
      </c>
      <c r="L42" s="0" t="s">
        <v>3946</v>
      </c>
      <c r="M42" s="0" t="s">
        <v>3947</v>
      </c>
      <c r="N42" s="0" t="s">
        <v>105</v>
      </c>
      <c r="O42" s="0" t="s">
        <v>3853</v>
      </c>
      <c r="P42" s="0" t="s">
        <v>3853</v>
      </c>
      <c r="Q42" s="0" t="s">
        <v>119</v>
      </c>
      <c r="R42" s="0" t="s">
        <v>3944</v>
      </c>
      <c r="S42" s="0" t="s">
        <v>3945</v>
      </c>
      <c r="T42" s="0" t="s">
        <v>3819</v>
      </c>
      <c r="U42" s="0" t="s">
        <v>3820</v>
      </c>
      <c r="V42" s="0" t="s">
        <v>713</v>
      </c>
      <c r="W42" s="0" t="s">
        <v>3807</v>
      </c>
      <c r="X42" s="0" t="s">
        <v>3821</v>
      </c>
      <c r="Y42" s="0" t="s">
        <v>3820</v>
      </c>
      <c r="Z42" s="0" t="s">
        <v>89</v>
      </c>
      <c r="AA42" s="0" t="s">
        <v>3948</v>
      </c>
      <c r="AB42" s="0" t="s">
        <v>3840</v>
      </c>
      <c r="AC42" s="0" t="s">
        <v>19</v>
      </c>
      <c r="AD42" s="0" t="s">
        <v>19</v>
      </c>
      <c r="AE42" s="0" t="s">
        <v>64</v>
      </c>
      <c r="AF42" s="0" t="s">
        <v>22</v>
      </c>
      <c r="AG42" s="0" t="s">
        <v>22</v>
      </c>
      <c r="AH42" s="0" t="s">
        <v>22</v>
      </c>
      <c r="AI42" s="0" t="s">
        <v>22</v>
      </c>
      <c r="AJ42" s="0" t="s">
        <v>3949</v>
      </c>
      <c r="AK42" s="0" t="s">
        <v>3950</v>
      </c>
    </row>
    <row customHeight="1" ht="11.25">
      <c r="A43" s="0" t="s">
        <v>22</v>
      </c>
      <c r="B43" s="0" t="s">
        <v>48</v>
      </c>
      <c r="C43" s="0" t="s">
        <v>50</v>
      </c>
      <c r="D43" s="0" t="s">
        <v>22</v>
      </c>
      <c r="E43" s="0" t="s">
        <v>3943</v>
      </c>
      <c r="F43" s="0" t="s">
        <v>3926</v>
      </c>
      <c r="G43" s="0" t="s">
        <v>118</v>
      </c>
      <c r="H43" s="0" t="s">
        <v>118</v>
      </c>
      <c r="I43" s="0" t="s">
        <v>119</v>
      </c>
      <c r="J43" s="0" t="s">
        <v>3944</v>
      </c>
      <c r="K43" s="0" t="s">
        <v>3945</v>
      </c>
      <c r="L43" s="0" t="s">
        <v>3946</v>
      </c>
      <c r="M43" s="0" t="s">
        <v>3947</v>
      </c>
      <c r="N43" s="0" t="s">
        <v>105</v>
      </c>
      <c r="O43" s="0" t="s">
        <v>3853</v>
      </c>
      <c r="P43" s="0" t="s">
        <v>3853</v>
      </c>
      <c r="Q43" s="0" t="s">
        <v>119</v>
      </c>
      <c r="R43" s="0" t="s">
        <v>3944</v>
      </c>
      <c r="S43" s="0" t="s">
        <v>3945</v>
      </c>
      <c r="T43" s="0" t="s">
        <v>3819</v>
      </c>
      <c r="U43" s="0" t="s">
        <v>3820</v>
      </c>
      <c r="V43" s="0" t="s">
        <v>713</v>
      </c>
      <c r="W43" s="0" t="s">
        <v>3807</v>
      </c>
      <c r="X43" s="0" t="s">
        <v>3821</v>
      </c>
      <c r="Y43" s="0" t="s">
        <v>3820</v>
      </c>
      <c r="Z43" s="0" t="s">
        <v>89</v>
      </c>
      <c r="AA43" s="0" t="s">
        <v>3948</v>
      </c>
      <c r="AB43" s="0" t="s">
        <v>3840</v>
      </c>
      <c r="AC43" s="0" t="s">
        <v>19</v>
      </c>
      <c r="AD43" s="0" t="s">
        <v>19</v>
      </c>
      <c r="AE43" s="0" t="s">
        <v>64</v>
      </c>
      <c r="AF43" s="0" t="s">
        <v>22</v>
      </c>
      <c r="AG43" s="0" t="s">
        <v>22</v>
      </c>
      <c r="AH43" s="0" t="s">
        <v>22</v>
      </c>
      <c r="AI43" s="0" t="s">
        <v>22</v>
      </c>
      <c r="AJ43" s="0" t="s">
        <v>3949</v>
      </c>
      <c r="AK43" s="0" t="s">
        <v>3950</v>
      </c>
    </row>
    <row customHeight="1" ht="11.25">
      <c r="A44" s="0" t="s">
        <v>22</v>
      </c>
      <c r="B44" s="0" t="s">
        <v>48</v>
      </c>
      <c r="C44" s="0" t="s">
        <v>50</v>
      </c>
      <c r="D44" s="0" t="s">
        <v>22</v>
      </c>
      <c r="E44" s="0" t="s">
        <v>3951</v>
      </c>
      <c r="F44" s="0" t="s">
        <v>3907</v>
      </c>
      <c r="G44" s="0" t="s">
        <v>118</v>
      </c>
      <c r="H44" s="0" t="s">
        <v>118</v>
      </c>
      <c r="I44" s="0" t="s">
        <v>119</v>
      </c>
      <c r="J44" s="0" t="s">
        <v>3850</v>
      </c>
      <c r="K44" s="0" t="s">
        <v>3851</v>
      </c>
      <c r="L44" s="0" t="s">
        <v>3818</v>
      </c>
      <c r="M44" s="0" t="s">
        <v>3818</v>
      </c>
      <c r="N44" s="0" t="s">
        <v>105</v>
      </c>
      <c r="O44" s="0" t="s">
        <v>3853</v>
      </c>
      <c r="P44" s="0" t="s">
        <v>3853</v>
      </c>
      <c r="Q44" s="0" t="s">
        <v>119</v>
      </c>
      <c r="R44" s="0" t="s">
        <v>3850</v>
      </c>
      <c r="S44" s="0" t="s">
        <v>3851</v>
      </c>
      <c r="T44" s="0" t="s">
        <v>3805</v>
      </c>
      <c r="U44" s="0" t="s">
        <v>3806</v>
      </c>
      <c r="V44" s="0" t="s">
        <v>713</v>
      </c>
      <c r="W44" s="0" t="s">
        <v>3807</v>
      </c>
      <c r="X44" s="0" t="s">
        <v>3808</v>
      </c>
      <c r="Y44" s="0" t="s">
        <v>3806</v>
      </c>
      <c r="Z44" s="0" t="s">
        <v>3952</v>
      </c>
      <c r="AA44" s="0" t="s">
        <v>3953</v>
      </c>
      <c r="AB44" s="0" t="s">
        <v>3954</v>
      </c>
      <c r="AC44" s="0" t="s">
        <v>64</v>
      </c>
      <c r="AD44" s="0" t="s">
        <v>64</v>
      </c>
      <c r="AE44" s="0" t="s">
        <v>64</v>
      </c>
      <c r="AF44" s="0" t="s">
        <v>3955</v>
      </c>
      <c r="AG44" s="0" t="s">
        <v>3956</v>
      </c>
      <c r="AH44" s="0" t="s">
        <v>3955</v>
      </c>
      <c r="AI44" s="0" t="s">
        <v>3956</v>
      </c>
      <c r="AJ44" s="0" t="s">
        <v>3955</v>
      </c>
      <c r="AK44" s="0" t="s">
        <v>3956</v>
      </c>
    </row>
    <row customHeight="1" ht="11.25">
      <c r="A45" s="0" t="s">
        <v>22</v>
      </c>
      <c r="B45" s="0" t="s">
        <v>48</v>
      </c>
      <c r="C45" s="0" t="s">
        <v>50</v>
      </c>
      <c r="D45" s="0" t="s">
        <v>22</v>
      </c>
      <c r="E45" s="0" t="s">
        <v>3951</v>
      </c>
      <c r="F45" s="0" t="s">
        <v>3907</v>
      </c>
      <c r="G45" s="0" t="s">
        <v>118</v>
      </c>
      <c r="H45" s="0" t="s">
        <v>118</v>
      </c>
      <c r="I45" s="0" t="s">
        <v>119</v>
      </c>
      <c r="J45" s="0" t="s">
        <v>3850</v>
      </c>
      <c r="K45" s="0" t="s">
        <v>3851</v>
      </c>
      <c r="L45" s="0" t="s">
        <v>3818</v>
      </c>
      <c r="M45" s="0" t="s">
        <v>3818</v>
      </c>
      <c r="N45" s="0" t="s">
        <v>105</v>
      </c>
      <c r="O45" s="0" t="s">
        <v>3853</v>
      </c>
      <c r="P45" s="0" t="s">
        <v>3853</v>
      </c>
      <c r="Q45" s="0" t="s">
        <v>119</v>
      </c>
      <c r="R45" s="0" t="s">
        <v>3850</v>
      </c>
      <c r="S45" s="0" t="s">
        <v>3851</v>
      </c>
      <c r="T45" s="0" t="s">
        <v>3805</v>
      </c>
      <c r="U45" s="0" t="s">
        <v>3806</v>
      </c>
      <c r="V45" s="0" t="s">
        <v>713</v>
      </c>
      <c r="W45" s="0" t="s">
        <v>3807</v>
      </c>
      <c r="X45" s="0" t="s">
        <v>3808</v>
      </c>
      <c r="Y45" s="0" t="s">
        <v>3806</v>
      </c>
      <c r="Z45" s="0" t="s">
        <v>3952</v>
      </c>
      <c r="AA45" s="0" t="s">
        <v>3953</v>
      </c>
      <c r="AB45" s="0" t="s">
        <v>3954</v>
      </c>
      <c r="AC45" s="0" t="s">
        <v>64</v>
      </c>
      <c r="AD45" s="0" t="s">
        <v>64</v>
      </c>
      <c r="AE45" s="0" t="s">
        <v>64</v>
      </c>
      <c r="AF45" s="0" t="s">
        <v>3955</v>
      </c>
      <c r="AG45" s="0" t="s">
        <v>3956</v>
      </c>
      <c r="AH45" s="0" t="s">
        <v>3955</v>
      </c>
      <c r="AI45" s="0" t="s">
        <v>3956</v>
      </c>
      <c r="AJ45" s="0" t="s">
        <v>3955</v>
      </c>
      <c r="AK45" s="0" t="s">
        <v>3956</v>
      </c>
    </row>
    <row customHeight="1" ht="11.25">
      <c r="A46" s="0" t="s">
        <v>22</v>
      </c>
      <c r="B46" s="0" t="s">
        <v>48</v>
      </c>
      <c r="C46" s="0" t="s">
        <v>50</v>
      </c>
      <c r="D46" s="0" t="s">
        <v>22</v>
      </c>
      <c r="E46" s="0" t="s">
        <v>3957</v>
      </c>
      <c r="F46" s="0" t="s">
        <v>1305</v>
      </c>
      <c r="G46" s="0" t="s">
        <v>127</v>
      </c>
      <c r="H46" s="0" t="s">
        <v>127</v>
      </c>
      <c r="I46" s="0" t="s">
        <v>128</v>
      </c>
      <c r="J46" s="0" t="s">
        <v>3958</v>
      </c>
      <c r="K46" s="0" t="s">
        <v>3959</v>
      </c>
      <c r="L46" s="0" t="s">
        <v>3960</v>
      </c>
      <c r="M46" s="0" t="s">
        <v>1910</v>
      </c>
      <c r="N46" s="0" t="s">
        <v>105</v>
      </c>
      <c r="O46" s="0" t="s">
        <v>127</v>
      </c>
      <c r="P46" s="0" t="s">
        <v>127</v>
      </c>
      <c r="Q46" s="0" t="s">
        <v>128</v>
      </c>
      <c r="R46" s="0" t="s">
        <v>3958</v>
      </c>
      <c r="S46" s="0" t="s">
        <v>3959</v>
      </c>
      <c r="T46" s="0" t="s">
        <v>3805</v>
      </c>
      <c r="U46" s="0" t="s">
        <v>3806</v>
      </c>
      <c r="V46" s="0" t="s">
        <v>713</v>
      </c>
      <c r="W46" s="0" t="s">
        <v>3807</v>
      </c>
      <c r="X46" s="0" t="s">
        <v>3854</v>
      </c>
      <c r="Y46" s="0" t="s">
        <v>3806</v>
      </c>
      <c r="Z46" s="0" t="s">
        <v>3961</v>
      </c>
      <c r="AA46" s="0" t="s">
        <v>3912</v>
      </c>
      <c r="AB46" s="0" t="s">
        <v>3962</v>
      </c>
      <c r="AC46" s="0" t="s">
        <v>64</v>
      </c>
      <c r="AD46" s="0" t="s">
        <v>19</v>
      </c>
      <c r="AE46" s="0" t="s">
        <v>64</v>
      </c>
      <c r="AF46" s="0" t="s">
        <v>167</v>
      </c>
      <c r="AG46" s="0" t="s">
        <v>3963</v>
      </c>
      <c r="AH46" s="0" t="s">
        <v>22</v>
      </c>
      <c r="AI46" s="0" t="s">
        <v>22</v>
      </c>
      <c r="AJ46" s="0" t="s">
        <v>167</v>
      </c>
      <c r="AK46" s="0" t="s">
        <v>3963</v>
      </c>
    </row>
    <row customHeight="1" ht="11.25">
      <c r="A47" s="0" t="s">
        <v>22</v>
      </c>
      <c r="B47" s="0" t="s">
        <v>48</v>
      </c>
      <c r="C47" s="0" t="s">
        <v>50</v>
      </c>
      <c r="D47" s="0" t="s">
        <v>22</v>
      </c>
      <c r="E47" s="0" t="s">
        <v>3957</v>
      </c>
      <c r="F47" s="0" t="s">
        <v>1305</v>
      </c>
      <c r="G47" s="0" t="s">
        <v>127</v>
      </c>
      <c r="H47" s="0" t="s">
        <v>127</v>
      </c>
      <c r="I47" s="0" t="s">
        <v>128</v>
      </c>
      <c r="J47" s="0" t="s">
        <v>3958</v>
      </c>
      <c r="K47" s="0" t="s">
        <v>3959</v>
      </c>
      <c r="L47" s="0" t="s">
        <v>3960</v>
      </c>
      <c r="M47" s="0" t="s">
        <v>1910</v>
      </c>
      <c r="N47" s="0" t="s">
        <v>105</v>
      </c>
      <c r="O47" s="0" t="s">
        <v>127</v>
      </c>
      <c r="P47" s="0" t="s">
        <v>127</v>
      </c>
      <c r="Q47" s="0" t="s">
        <v>128</v>
      </c>
      <c r="R47" s="0" t="s">
        <v>3958</v>
      </c>
      <c r="S47" s="0" t="s">
        <v>3959</v>
      </c>
      <c r="T47" s="0" t="s">
        <v>3805</v>
      </c>
      <c r="U47" s="0" t="s">
        <v>3806</v>
      </c>
      <c r="V47" s="0" t="s">
        <v>713</v>
      </c>
      <c r="W47" s="0" t="s">
        <v>3807</v>
      </c>
      <c r="X47" s="0" t="s">
        <v>3854</v>
      </c>
      <c r="Y47" s="0" t="s">
        <v>3806</v>
      </c>
      <c r="Z47" s="0" t="s">
        <v>3961</v>
      </c>
      <c r="AA47" s="0" t="s">
        <v>3912</v>
      </c>
      <c r="AB47" s="0" t="s">
        <v>3962</v>
      </c>
      <c r="AC47" s="0" t="s">
        <v>64</v>
      </c>
      <c r="AD47" s="0" t="s">
        <v>19</v>
      </c>
      <c r="AE47" s="0" t="s">
        <v>64</v>
      </c>
      <c r="AF47" s="0" t="s">
        <v>167</v>
      </c>
      <c r="AG47" s="0" t="s">
        <v>3963</v>
      </c>
      <c r="AH47" s="0" t="s">
        <v>22</v>
      </c>
      <c r="AI47" s="0" t="s">
        <v>22</v>
      </c>
      <c r="AJ47" s="0" t="s">
        <v>167</v>
      </c>
      <c r="AK47" s="0" t="s">
        <v>3963</v>
      </c>
    </row>
    <row customHeight="1" ht="11.25">
      <c r="A48" s="0" t="s">
        <v>22</v>
      </c>
      <c r="B48" s="0" t="s">
        <v>48</v>
      </c>
      <c r="C48" s="0" t="s">
        <v>50</v>
      </c>
      <c r="D48" s="0" t="s">
        <v>22</v>
      </c>
      <c r="E48" s="0" t="s">
        <v>3964</v>
      </c>
      <c r="F48" s="0" t="s">
        <v>3815</v>
      </c>
      <c r="G48" s="0" t="s">
        <v>99</v>
      </c>
      <c r="H48" s="0" t="s">
        <v>99</v>
      </c>
      <c r="I48" s="0" t="s">
        <v>100</v>
      </c>
      <c r="J48" s="0" t="s">
        <v>3936</v>
      </c>
      <c r="K48" s="0" t="s">
        <v>3937</v>
      </c>
      <c r="L48" s="0" t="s">
        <v>954</v>
      </c>
      <c r="M48" s="0" t="s">
        <v>954</v>
      </c>
      <c r="N48" s="0" t="s">
        <v>105</v>
      </c>
      <c r="O48" s="0" t="s">
        <v>99</v>
      </c>
      <c r="P48" s="0" t="s">
        <v>99</v>
      </c>
      <c r="Q48" s="0" t="s">
        <v>100</v>
      </c>
      <c r="R48" s="0" t="s">
        <v>3936</v>
      </c>
      <c r="S48" s="0" t="s">
        <v>3937</v>
      </c>
      <c r="T48" s="0" t="s">
        <v>3938</v>
      </c>
      <c r="U48" s="0" t="s">
        <v>3939</v>
      </c>
      <c r="V48" s="0" t="s">
        <v>3940</v>
      </c>
      <c r="W48" s="0" t="s">
        <v>3807</v>
      </c>
      <c r="X48" s="0" t="s">
        <v>3821</v>
      </c>
      <c r="Y48" s="0" t="s">
        <v>3820</v>
      </c>
      <c r="Z48" s="0" t="s">
        <v>3846</v>
      </c>
      <c r="AA48" s="0" t="s">
        <v>3875</v>
      </c>
      <c r="AB48" s="0" t="s">
        <v>3940</v>
      </c>
      <c r="AC48" s="0" t="s">
        <v>64</v>
      </c>
      <c r="AD48" s="0" t="s">
        <v>19</v>
      </c>
      <c r="AE48" s="0" t="s">
        <v>19</v>
      </c>
      <c r="AF48" s="0" t="s">
        <v>3616</v>
      </c>
      <c r="AG48" s="0" t="s">
        <v>3941</v>
      </c>
      <c r="AH48" s="0" t="s">
        <v>22</v>
      </c>
      <c r="AI48" s="0" t="s">
        <v>22</v>
      </c>
      <c r="AJ48" s="0" t="s">
        <v>22</v>
      </c>
      <c r="AK48" s="0" t="s">
        <v>22</v>
      </c>
    </row>
    <row customHeight="1" ht="11.25">
      <c r="A49" s="0" t="s">
        <v>22</v>
      </c>
      <c r="B49" s="0" t="s">
        <v>48</v>
      </c>
      <c r="C49" s="0" t="s">
        <v>50</v>
      </c>
      <c r="D49" s="0" t="s">
        <v>22</v>
      </c>
      <c r="E49" s="0" t="s">
        <v>3964</v>
      </c>
      <c r="F49" s="0" t="s">
        <v>3815</v>
      </c>
      <c r="G49" s="0" t="s">
        <v>99</v>
      </c>
      <c r="H49" s="0" t="s">
        <v>99</v>
      </c>
      <c r="I49" s="0" t="s">
        <v>100</v>
      </c>
      <c r="J49" s="0" t="s">
        <v>3936</v>
      </c>
      <c r="K49" s="0" t="s">
        <v>3937</v>
      </c>
      <c r="L49" s="0" t="s">
        <v>954</v>
      </c>
      <c r="M49" s="0" t="s">
        <v>3965</v>
      </c>
      <c r="N49" s="0" t="s">
        <v>105</v>
      </c>
      <c r="O49" s="0" t="s">
        <v>99</v>
      </c>
      <c r="P49" s="0" t="s">
        <v>99</v>
      </c>
      <c r="Q49" s="0" t="s">
        <v>100</v>
      </c>
      <c r="R49" s="0" t="s">
        <v>3936</v>
      </c>
      <c r="S49" s="0" t="s">
        <v>3937</v>
      </c>
      <c r="T49" s="0" t="s">
        <v>3938</v>
      </c>
      <c r="U49" s="0" t="s">
        <v>3939</v>
      </c>
      <c r="V49" s="0" t="s">
        <v>3940</v>
      </c>
      <c r="W49" s="0" t="s">
        <v>3807</v>
      </c>
      <c r="X49" s="0" t="s">
        <v>3821</v>
      </c>
      <c r="Y49" s="0" t="s">
        <v>3820</v>
      </c>
      <c r="Z49" s="0" t="s">
        <v>3846</v>
      </c>
      <c r="AA49" s="0" t="s">
        <v>3875</v>
      </c>
      <c r="AB49" s="0" t="s">
        <v>3940</v>
      </c>
      <c r="AC49" s="0" t="s">
        <v>64</v>
      </c>
      <c r="AD49" s="0" t="s">
        <v>19</v>
      </c>
      <c r="AE49" s="0" t="s">
        <v>19</v>
      </c>
      <c r="AF49" s="0" t="s">
        <v>3616</v>
      </c>
      <c r="AG49" s="0" t="s">
        <v>3941</v>
      </c>
      <c r="AH49" s="0" t="s">
        <v>22</v>
      </c>
      <c r="AI49" s="0" t="s">
        <v>22</v>
      </c>
      <c r="AJ49" s="0" t="s">
        <v>22</v>
      </c>
      <c r="AK49" s="0" t="s">
        <v>22</v>
      </c>
    </row>
    <row customHeight="1" ht="11.25">
      <c r="A50" s="0" t="s">
        <v>22</v>
      </c>
      <c r="B50" s="0" t="s">
        <v>48</v>
      </c>
      <c r="C50" s="0" t="s">
        <v>50</v>
      </c>
      <c r="D50" s="0" t="s">
        <v>22</v>
      </c>
      <c r="E50" s="0" t="s">
        <v>3966</v>
      </c>
      <c r="F50" s="0" t="s">
        <v>1305</v>
      </c>
      <c r="G50" s="0" t="s">
        <v>127</v>
      </c>
      <c r="H50" s="0" t="s">
        <v>127</v>
      </c>
      <c r="I50" s="0" t="s">
        <v>128</v>
      </c>
      <c r="J50" s="0" t="s">
        <v>3967</v>
      </c>
      <c r="K50" s="0" t="s">
        <v>3968</v>
      </c>
      <c r="L50" s="0" t="s">
        <v>3969</v>
      </c>
      <c r="M50" s="0" t="s">
        <v>3818</v>
      </c>
      <c r="N50" s="0" t="s">
        <v>105</v>
      </c>
      <c r="O50" s="0" t="s">
        <v>127</v>
      </c>
      <c r="P50" s="0" t="s">
        <v>127</v>
      </c>
      <c r="Q50" s="0" t="s">
        <v>128</v>
      </c>
      <c r="R50" s="0" t="s">
        <v>3967</v>
      </c>
      <c r="S50" s="0" t="s">
        <v>3968</v>
      </c>
      <c r="T50" s="0" t="s">
        <v>3805</v>
      </c>
      <c r="U50" s="0" t="s">
        <v>3806</v>
      </c>
      <c r="V50" s="0" t="s">
        <v>713</v>
      </c>
      <c r="W50" s="0" t="s">
        <v>3807</v>
      </c>
      <c r="X50" s="0" t="s">
        <v>3854</v>
      </c>
      <c r="Y50" s="0" t="s">
        <v>3806</v>
      </c>
      <c r="Z50" s="0" t="s">
        <v>3970</v>
      </c>
      <c r="AA50" s="0" t="s">
        <v>3912</v>
      </c>
      <c r="AB50" s="0" t="s">
        <v>3971</v>
      </c>
      <c r="AC50" s="0" t="s">
        <v>64</v>
      </c>
      <c r="AD50" s="0" t="s">
        <v>19</v>
      </c>
      <c r="AE50" s="0" t="s">
        <v>64</v>
      </c>
      <c r="AF50" s="0" t="s">
        <v>3972</v>
      </c>
      <c r="AG50" s="0" t="s">
        <v>3973</v>
      </c>
      <c r="AH50" s="0" t="s">
        <v>22</v>
      </c>
      <c r="AI50" s="0" t="s">
        <v>22</v>
      </c>
      <c r="AJ50" s="0" t="s">
        <v>3974</v>
      </c>
      <c r="AK50" s="0" t="s">
        <v>3975</v>
      </c>
    </row>
    <row customHeight="1" ht="11.25">
      <c r="A51" s="0" t="s">
        <v>22</v>
      </c>
      <c r="B51" s="0" t="s">
        <v>48</v>
      </c>
      <c r="C51" s="0" t="s">
        <v>50</v>
      </c>
      <c r="D51" s="0" t="s">
        <v>22</v>
      </c>
      <c r="E51" s="0" t="s">
        <v>3966</v>
      </c>
      <c r="F51" s="0" t="s">
        <v>1305</v>
      </c>
      <c r="G51" s="0" t="s">
        <v>127</v>
      </c>
      <c r="H51" s="0" t="s">
        <v>127</v>
      </c>
      <c r="I51" s="0" t="s">
        <v>128</v>
      </c>
      <c r="J51" s="0" t="s">
        <v>3967</v>
      </c>
      <c r="K51" s="0" t="s">
        <v>3968</v>
      </c>
      <c r="L51" s="0" t="s">
        <v>3969</v>
      </c>
      <c r="M51" s="0" t="s">
        <v>3818</v>
      </c>
      <c r="N51" s="0" t="s">
        <v>105</v>
      </c>
      <c r="O51" s="0" t="s">
        <v>127</v>
      </c>
      <c r="P51" s="0" t="s">
        <v>127</v>
      </c>
      <c r="Q51" s="0" t="s">
        <v>128</v>
      </c>
      <c r="R51" s="0" t="s">
        <v>3967</v>
      </c>
      <c r="S51" s="0" t="s">
        <v>3968</v>
      </c>
      <c r="T51" s="0" t="s">
        <v>3805</v>
      </c>
      <c r="U51" s="0" t="s">
        <v>3806</v>
      </c>
      <c r="V51" s="0" t="s">
        <v>713</v>
      </c>
      <c r="W51" s="0" t="s">
        <v>3807</v>
      </c>
      <c r="X51" s="0" t="s">
        <v>3854</v>
      </c>
      <c r="Y51" s="0" t="s">
        <v>3806</v>
      </c>
      <c r="Z51" s="0" t="s">
        <v>3970</v>
      </c>
      <c r="AA51" s="0" t="s">
        <v>3912</v>
      </c>
      <c r="AB51" s="0" t="s">
        <v>3971</v>
      </c>
      <c r="AC51" s="0" t="s">
        <v>64</v>
      </c>
      <c r="AD51" s="0" t="s">
        <v>19</v>
      </c>
      <c r="AE51" s="0" t="s">
        <v>64</v>
      </c>
      <c r="AF51" s="0" t="s">
        <v>3972</v>
      </c>
      <c r="AG51" s="0" t="s">
        <v>3973</v>
      </c>
      <c r="AH51" s="0" t="s">
        <v>22</v>
      </c>
      <c r="AI51" s="0" t="s">
        <v>22</v>
      </c>
      <c r="AJ51" s="0" t="s">
        <v>3974</v>
      </c>
      <c r="AK51" s="0" t="s">
        <v>3975</v>
      </c>
    </row>
    <row customHeight="1" ht="11.25">
      <c r="A52" s="0" t="s">
        <v>22</v>
      </c>
      <c r="B52" s="0" t="s">
        <v>48</v>
      </c>
      <c r="C52" s="0" t="s">
        <v>50</v>
      </c>
      <c r="D52" s="0" t="s">
        <v>22</v>
      </c>
      <c r="E52" s="0" t="s">
        <v>1328</v>
      </c>
      <c r="F52" s="0" t="s">
        <v>1305</v>
      </c>
      <c r="G52" s="0" t="s">
        <v>136</v>
      </c>
      <c r="H52" s="0" t="s">
        <v>136</v>
      </c>
      <c r="I52" s="0" t="s">
        <v>137</v>
      </c>
      <c r="J52" s="0" t="s">
        <v>1329</v>
      </c>
      <c r="K52" s="0" t="s">
        <v>1330</v>
      </c>
      <c r="L52" s="0" t="s">
        <v>1331</v>
      </c>
      <c r="M52" s="0" t="s">
        <v>1332</v>
      </c>
      <c r="N52" s="0" t="s">
        <v>105</v>
      </c>
      <c r="O52" s="0" t="s">
        <v>136</v>
      </c>
      <c r="P52" s="0" t="s">
        <v>136</v>
      </c>
      <c r="Q52" s="0" t="s">
        <v>137</v>
      </c>
      <c r="R52" s="0" t="s">
        <v>1329</v>
      </c>
      <c r="S52" s="0" t="s">
        <v>1330</v>
      </c>
      <c r="T52" s="0" t="s">
        <v>3819</v>
      </c>
      <c r="U52" s="0" t="s">
        <v>3820</v>
      </c>
      <c r="V52" s="0" t="s">
        <v>713</v>
      </c>
      <c r="W52" s="0" t="s">
        <v>3807</v>
      </c>
      <c r="X52" s="0" t="s">
        <v>3821</v>
      </c>
      <c r="Y52" s="0" t="s">
        <v>3820</v>
      </c>
      <c r="Z52" s="0" t="s">
        <v>3976</v>
      </c>
      <c r="AA52" s="0" t="s">
        <v>3977</v>
      </c>
      <c r="AB52" s="0" t="s">
        <v>3978</v>
      </c>
      <c r="AC52" s="0" t="s">
        <v>64</v>
      </c>
      <c r="AD52" s="0" t="s">
        <v>19</v>
      </c>
      <c r="AE52" s="0" t="s">
        <v>64</v>
      </c>
      <c r="AF52" s="0" t="s">
        <v>1079</v>
      </c>
      <c r="AG52" s="0" t="s">
        <v>3979</v>
      </c>
      <c r="AH52" s="0" t="s">
        <v>22</v>
      </c>
      <c r="AI52" s="0" t="s">
        <v>22</v>
      </c>
      <c r="AJ52" s="0" t="s">
        <v>1079</v>
      </c>
      <c r="AK52" s="0" t="s">
        <v>3979</v>
      </c>
    </row>
    <row customHeight="1" ht="11.25">
      <c r="A53" s="0" t="s">
        <v>22</v>
      </c>
      <c r="B53" s="0" t="s">
        <v>48</v>
      </c>
      <c r="C53" s="0" t="s">
        <v>50</v>
      </c>
      <c r="D53" s="0" t="s">
        <v>22</v>
      </c>
      <c r="E53" s="0" t="s">
        <v>1328</v>
      </c>
      <c r="F53" s="0" t="s">
        <v>1305</v>
      </c>
      <c r="G53" s="0" t="s">
        <v>139</v>
      </c>
      <c r="H53" s="0" t="s">
        <v>146</v>
      </c>
      <c r="I53" s="0" t="s">
        <v>147</v>
      </c>
      <c r="J53" s="0" t="s">
        <v>1329</v>
      </c>
      <c r="K53" s="0" t="s">
        <v>3980</v>
      </c>
      <c r="L53" s="0" t="s">
        <v>1331</v>
      </c>
      <c r="M53" s="0" t="s">
        <v>1332</v>
      </c>
      <c r="N53" s="0" t="s">
        <v>105</v>
      </c>
      <c r="O53" s="0" t="s">
        <v>139</v>
      </c>
      <c r="P53" s="0" t="s">
        <v>146</v>
      </c>
      <c r="Q53" s="0" t="s">
        <v>147</v>
      </c>
      <c r="R53" s="0" t="s">
        <v>1329</v>
      </c>
      <c r="S53" s="0" t="s">
        <v>3980</v>
      </c>
      <c r="T53" s="0" t="s">
        <v>3819</v>
      </c>
      <c r="U53" s="0" t="s">
        <v>3820</v>
      </c>
      <c r="V53" s="0" t="s">
        <v>713</v>
      </c>
      <c r="W53" s="0" t="s">
        <v>3807</v>
      </c>
      <c r="X53" s="0" t="s">
        <v>3821</v>
      </c>
      <c r="Y53" s="0" t="s">
        <v>3820</v>
      </c>
      <c r="Z53" s="0" t="s">
        <v>3976</v>
      </c>
      <c r="AA53" s="0" t="s">
        <v>3977</v>
      </c>
      <c r="AB53" s="0" t="s">
        <v>3978</v>
      </c>
      <c r="AC53" s="0" t="s">
        <v>64</v>
      </c>
      <c r="AD53" s="0" t="s">
        <v>19</v>
      </c>
      <c r="AE53" s="0" t="s">
        <v>64</v>
      </c>
      <c r="AF53" s="0" t="s">
        <v>1079</v>
      </c>
      <c r="AG53" s="0" t="s">
        <v>3979</v>
      </c>
      <c r="AH53" s="0" t="s">
        <v>22</v>
      </c>
      <c r="AI53" s="0" t="s">
        <v>22</v>
      </c>
      <c r="AJ53" s="0" t="s">
        <v>1079</v>
      </c>
      <c r="AK53" s="0" t="s">
        <v>3979</v>
      </c>
    </row>
    <row customHeight="1" ht="11.25">
      <c r="A54" s="0" t="s">
        <v>22</v>
      </c>
      <c r="B54" s="0" t="s">
        <v>48</v>
      </c>
      <c r="C54" s="0" t="s">
        <v>50</v>
      </c>
      <c r="D54" s="0" t="s">
        <v>22</v>
      </c>
      <c r="E54" s="0" t="s">
        <v>3981</v>
      </c>
      <c r="F54" s="0" t="s">
        <v>1305</v>
      </c>
      <c r="G54" s="0" t="s">
        <v>136</v>
      </c>
      <c r="H54" s="0" t="s">
        <v>136</v>
      </c>
      <c r="I54" s="0" t="s">
        <v>137</v>
      </c>
      <c r="J54" s="0" t="s">
        <v>3982</v>
      </c>
      <c r="K54" s="0" t="s">
        <v>3983</v>
      </c>
      <c r="L54" s="0" t="s">
        <v>3984</v>
      </c>
      <c r="M54" s="0" t="s">
        <v>3985</v>
      </c>
      <c r="N54" s="0" t="s">
        <v>105</v>
      </c>
      <c r="O54" s="0" t="s">
        <v>136</v>
      </c>
      <c r="P54" s="0" t="s">
        <v>136</v>
      </c>
      <c r="Q54" s="0" t="s">
        <v>137</v>
      </c>
      <c r="R54" s="0" t="s">
        <v>3982</v>
      </c>
      <c r="S54" s="0" t="s">
        <v>3983</v>
      </c>
      <c r="T54" s="0" t="s">
        <v>3819</v>
      </c>
      <c r="U54" s="0" t="s">
        <v>3820</v>
      </c>
      <c r="V54" s="0" t="s">
        <v>713</v>
      </c>
      <c r="W54" s="0" t="s">
        <v>3807</v>
      </c>
      <c r="X54" s="0" t="s">
        <v>3821</v>
      </c>
      <c r="Y54" s="0" t="s">
        <v>3820</v>
      </c>
      <c r="Z54" s="0" t="s">
        <v>3976</v>
      </c>
      <c r="AA54" s="0" t="s">
        <v>3977</v>
      </c>
      <c r="AB54" s="0" t="s">
        <v>3978</v>
      </c>
      <c r="AC54" s="0" t="s">
        <v>64</v>
      </c>
      <c r="AD54" s="0" t="s">
        <v>19</v>
      </c>
      <c r="AE54" s="0" t="s">
        <v>64</v>
      </c>
      <c r="AF54" s="0" t="s">
        <v>470</v>
      </c>
      <c r="AG54" s="0" t="s">
        <v>3986</v>
      </c>
      <c r="AH54" s="0" t="s">
        <v>22</v>
      </c>
      <c r="AI54" s="0" t="s">
        <v>22</v>
      </c>
      <c r="AJ54" s="0" t="s">
        <v>470</v>
      </c>
      <c r="AK54" s="0" t="s">
        <v>3986</v>
      </c>
    </row>
    <row customHeight="1" ht="11.25">
      <c r="A55" s="0" t="s">
        <v>22</v>
      </c>
      <c r="B55" s="0" t="s">
        <v>48</v>
      </c>
      <c r="C55" s="0" t="s">
        <v>50</v>
      </c>
      <c r="D55" s="0" t="s">
        <v>22</v>
      </c>
      <c r="E55" s="0" t="s">
        <v>3981</v>
      </c>
      <c r="F55" s="0" t="s">
        <v>1305</v>
      </c>
      <c r="G55" s="0" t="s">
        <v>139</v>
      </c>
      <c r="H55" s="0" t="s">
        <v>146</v>
      </c>
      <c r="I55" s="0" t="s">
        <v>147</v>
      </c>
      <c r="J55" s="0" t="s">
        <v>3982</v>
      </c>
      <c r="K55" s="0" t="s">
        <v>3987</v>
      </c>
      <c r="L55" s="0" t="s">
        <v>3984</v>
      </c>
      <c r="M55" s="0" t="s">
        <v>3985</v>
      </c>
      <c r="N55" s="0" t="s">
        <v>105</v>
      </c>
      <c r="O55" s="0" t="s">
        <v>139</v>
      </c>
      <c r="P55" s="0" t="s">
        <v>146</v>
      </c>
      <c r="Q55" s="0" t="s">
        <v>147</v>
      </c>
      <c r="R55" s="0" t="s">
        <v>3982</v>
      </c>
      <c r="S55" s="0" t="s">
        <v>3987</v>
      </c>
      <c r="T55" s="0" t="s">
        <v>3819</v>
      </c>
      <c r="U55" s="0" t="s">
        <v>3820</v>
      </c>
      <c r="V55" s="0" t="s">
        <v>713</v>
      </c>
      <c r="W55" s="0" t="s">
        <v>3807</v>
      </c>
      <c r="X55" s="0" t="s">
        <v>3821</v>
      </c>
      <c r="Y55" s="0" t="s">
        <v>3820</v>
      </c>
      <c r="Z55" s="0" t="s">
        <v>3976</v>
      </c>
      <c r="AA55" s="0" t="s">
        <v>3977</v>
      </c>
      <c r="AB55" s="0" t="s">
        <v>3978</v>
      </c>
      <c r="AC55" s="0" t="s">
        <v>64</v>
      </c>
      <c r="AD55" s="0" t="s">
        <v>19</v>
      </c>
      <c r="AE55" s="0" t="s">
        <v>64</v>
      </c>
      <c r="AF55" s="0" t="s">
        <v>470</v>
      </c>
      <c r="AG55" s="0" t="s">
        <v>3986</v>
      </c>
      <c r="AH55" s="0" t="s">
        <v>22</v>
      </c>
      <c r="AI55" s="0" t="s">
        <v>22</v>
      </c>
      <c r="AJ55" s="0" t="s">
        <v>470</v>
      </c>
      <c r="AK55" s="0" t="s">
        <v>3986</v>
      </c>
    </row>
    <row customHeight="1" ht="11.25">
      <c r="A56" s="0" t="s">
        <v>22</v>
      </c>
      <c r="B56" s="0" t="s">
        <v>48</v>
      </c>
      <c r="C56" s="0" t="s">
        <v>50</v>
      </c>
      <c r="D56" s="0" t="s">
        <v>22</v>
      </c>
      <c r="E56" s="0" t="s">
        <v>3988</v>
      </c>
      <c r="F56" s="0" t="s">
        <v>1305</v>
      </c>
      <c r="G56" s="0" t="s">
        <v>163</v>
      </c>
      <c r="H56" s="0" t="s">
        <v>163</v>
      </c>
      <c r="I56" s="0" t="s">
        <v>164</v>
      </c>
      <c r="J56" s="0" t="s">
        <v>3989</v>
      </c>
      <c r="K56" s="0" t="s">
        <v>3990</v>
      </c>
      <c r="L56" s="0" t="s">
        <v>3991</v>
      </c>
      <c r="M56" s="0" t="s">
        <v>3818</v>
      </c>
      <c r="N56" s="0" t="s">
        <v>105</v>
      </c>
      <c r="O56" s="0" t="s">
        <v>163</v>
      </c>
      <c r="P56" s="0" t="s">
        <v>163</v>
      </c>
      <c r="Q56" s="0" t="s">
        <v>164</v>
      </c>
      <c r="R56" s="0" t="s">
        <v>3989</v>
      </c>
      <c r="S56" s="0" t="s">
        <v>3990</v>
      </c>
      <c r="T56" s="0" t="s">
        <v>3819</v>
      </c>
      <c r="U56" s="0" t="s">
        <v>3820</v>
      </c>
      <c r="V56" s="0" t="s">
        <v>713</v>
      </c>
      <c r="W56" s="0" t="s">
        <v>3807</v>
      </c>
      <c r="X56" s="0" t="s">
        <v>3821</v>
      </c>
      <c r="Y56" s="0" t="s">
        <v>3820</v>
      </c>
      <c r="Z56" s="0" t="s">
        <v>3992</v>
      </c>
      <c r="AA56" s="0" t="s">
        <v>3993</v>
      </c>
      <c r="AB56" s="0" t="s">
        <v>3840</v>
      </c>
      <c r="AC56" s="0" t="s">
        <v>64</v>
      </c>
      <c r="AD56" s="0" t="s">
        <v>19</v>
      </c>
      <c r="AE56" s="0" t="s">
        <v>64</v>
      </c>
      <c r="AF56" s="0" t="s">
        <v>1794</v>
      </c>
      <c r="AG56" s="0" t="s">
        <v>1366</v>
      </c>
      <c r="AH56" s="0" t="s">
        <v>22</v>
      </c>
      <c r="AI56" s="0" t="s">
        <v>22</v>
      </c>
      <c r="AJ56" s="0" t="s">
        <v>1794</v>
      </c>
      <c r="AK56" s="0" t="s">
        <v>3994</v>
      </c>
    </row>
    <row customHeight="1" ht="11.25">
      <c r="A57" s="0" t="s">
        <v>22</v>
      </c>
      <c r="B57" s="0" t="s">
        <v>48</v>
      </c>
      <c r="C57" s="0" t="s">
        <v>50</v>
      </c>
      <c r="D57" s="0" t="s">
        <v>22</v>
      </c>
      <c r="E57" s="0" t="s">
        <v>3988</v>
      </c>
      <c r="F57" s="0" t="s">
        <v>1305</v>
      </c>
      <c r="G57" s="0" t="s">
        <v>163</v>
      </c>
      <c r="H57" s="0" t="s">
        <v>163</v>
      </c>
      <c r="I57" s="0" t="s">
        <v>164</v>
      </c>
      <c r="J57" s="0" t="s">
        <v>3989</v>
      </c>
      <c r="K57" s="0" t="s">
        <v>3990</v>
      </c>
      <c r="L57" s="0" t="s">
        <v>3991</v>
      </c>
      <c r="M57" s="0" t="s">
        <v>3818</v>
      </c>
      <c r="N57" s="0" t="s">
        <v>105</v>
      </c>
      <c r="O57" s="0" t="s">
        <v>163</v>
      </c>
      <c r="P57" s="0" t="s">
        <v>163</v>
      </c>
      <c r="Q57" s="0" t="s">
        <v>164</v>
      </c>
      <c r="R57" s="0" t="s">
        <v>3989</v>
      </c>
      <c r="S57" s="0" t="s">
        <v>3990</v>
      </c>
      <c r="T57" s="0" t="s">
        <v>3819</v>
      </c>
      <c r="U57" s="0" t="s">
        <v>3820</v>
      </c>
      <c r="V57" s="0" t="s">
        <v>713</v>
      </c>
      <c r="W57" s="0" t="s">
        <v>3807</v>
      </c>
      <c r="X57" s="0" t="s">
        <v>3821</v>
      </c>
      <c r="Y57" s="0" t="s">
        <v>3820</v>
      </c>
      <c r="Z57" s="0" t="s">
        <v>3992</v>
      </c>
      <c r="AA57" s="0" t="s">
        <v>3993</v>
      </c>
      <c r="AB57" s="0" t="s">
        <v>3840</v>
      </c>
      <c r="AC57" s="0" t="s">
        <v>64</v>
      </c>
      <c r="AD57" s="0" t="s">
        <v>19</v>
      </c>
      <c r="AE57" s="0" t="s">
        <v>64</v>
      </c>
      <c r="AF57" s="0" t="s">
        <v>1794</v>
      </c>
      <c r="AG57" s="0" t="s">
        <v>1366</v>
      </c>
      <c r="AH57" s="0" t="s">
        <v>22</v>
      </c>
      <c r="AI57" s="0" t="s">
        <v>22</v>
      </c>
      <c r="AJ57" s="0" t="s">
        <v>1794</v>
      </c>
      <c r="AK57" s="0" t="s">
        <v>3994</v>
      </c>
    </row>
    <row customHeight="1" ht="11.25">
      <c r="A58" s="0" t="s">
        <v>22</v>
      </c>
      <c r="B58" s="0" t="s">
        <v>48</v>
      </c>
      <c r="C58" s="0" t="s">
        <v>50</v>
      </c>
      <c r="D58" s="0" t="s">
        <v>22</v>
      </c>
      <c r="E58" s="0" t="s">
        <v>3995</v>
      </c>
      <c r="F58" s="0" t="s">
        <v>1305</v>
      </c>
      <c r="G58" s="0" t="s">
        <v>99</v>
      </c>
      <c r="H58" s="0" t="s">
        <v>99</v>
      </c>
      <c r="I58" s="0" t="s">
        <v>100</v>
      </c>
      <c r="J58" s="0" t="s">
        <v>3996</v>
      </c>
      <c r="K58" s="0" t="s">
        <v>3997</v>
      </c>
      <c r="L58" s="0" t="s">
        <v>3998</v>
      </c>
      <c r="M58" s="0" t="s">
        <v>1892</v>
      </c>
      <c r="N58" s="0" t="s">
        <v>105</v>
      </c>
      <c r="O58" s="0" t="s">
        <v>99</v>
      </c>
      <c r="P58" s="0" t="s">
        <v>99</v>
      </c>
      <c r="Q58" s="0" t="s">
        <v>100</v>
      </c>
      <c r="R58" s="0" t="s">
        <v>3996</v>
      </c>
      <c r="S58" s="0" t="s">
        <v>3997</v>
      </c>
      <c r="T58" s="0" t="s">
        <v>3819</v>
      </c>
      <c r="U58" s="0" t="s">
        <v>3820</v>
      </c>
      <c r="V58" s="0" t="s">
        <v>713</v>
      </c>
      <c r="W58" s="0" t="s">
        <v>3807</v>
      </c>
      <c r="X58" s="0" t="s">
        <v>3821</v>
      </c>
      <c r="Y58" s="0" t="s">
        <v>3820</v>
      </c>
      <c r="Z58" s="0" t="s">
        <v>3999</v>
      </c>
      <c r="AA58" s="0" t="s">
        <v>3875</v>
      </c>
      <c r="AB58" s="0" t="s">
        <v>3840</v>
      </c>
      <c r="AC58" s="0" t="s">
        <v>64</v>
      </c>
      <c r="AD58" s="0" t="s">
        <v>19</v>
      </c>
      <c r="AE58" s="0" t="s">
        <v>64</v>
      </c>
      <c r="AF58" s="0" t="s">
        <v>1846</v>
      </c>
      <c r="AG58" s="0" t="s">
        <v>4000</v>
      </c>
      <c r="AH58" s="0" t="s">
        <v>22</v>
      </c>
      <c r="AI58" s="0" t="s">
        <v>22</v>
      </c>
      <c r="AJ58" s="0" t="s">
        <v>1846</v>
      </c>
      <c r="AK58" s="0" t="s">
        <v>4000</v>
      </c>
    </row>
    <row customHeight="1" ht="11.25">
      <c r="A59" s="0" t="s">
        <v>22</v>
      </c>
      <c r="B59" s="0" t="s">
        <v>48</v>
      </c>
      <c r="C59" s="0" t="s">
        <v>50</v>
      </c>
      <c r="D59" s="0" t="s">
        <v>22</v>
      </c>
      <c r="E59" s="0" t="s">
        <v>3995</v>
      </c>
      <c r="F59" s="0" t="s">
        <v>1305</v>
      </c>
      <c r="G59" s="0" t="s">
        <v>99</v>
      </c>
      <c r="H59" s="0" t="s">
        <v>99</v>
      </c>
      <c r="I59" s="0" t="s">
        <v>100</v>
      </c>
      <c r="J59" s="0" t="s">
        <v>3996</v>
      </c>
      <c r="K59" s="0" t="s">
        <v>3997</v>
      </c>
      <c r="L59" s="0" t="s">
        <v>3998</v>
      </c>
      <c r="M59" s="0" t="s">
        <v>1892</v>
      </c>
      <c r="N59" s="0" t="s">
        <v>105</v>
      </c>
      <c r="O59" s="0" t="s">
        <v>99</v>
      </c>
      <c r="P59" s="0" t="s">
        <v>99</v>
      </c>
      <c r="Q59" s="0" t="s">
        <v>100</v>
      </c>
      <c r="R59" s="0" t="s">
        <v>3996</v>
      </c>
      <c r="S59" s="0" t="s">
        <v>3997</v>
      </c>
      <c r="T59" s="0" t="s">
        <v>3819</v>
      </c>
      <c r="U59" s="0" t="s">
        <v>3820</v>
      </c>
      <c r="V59" s="0" t="s">
        <v>713</v>
      </c>
      <c r="W59" s="0" t="s">
        <v>3807</v>
      </c>
      <c r="X59" s="0" t="s">
        <v>3821</v>
      </c>
      <c r="Y59" s="0" t="s">
        <v>3820</v>
      </c>
      <c r="Z59" s="0" t="s">
        <v>3999</v>
      </c>
      <c r="AA59" s="0" t="s">
        <v>3875</v>
      </c>
      <c r="AB59" s="0" t="s">
        <v>3840</v>
      </c>
      <c r="AC59" s="0" t="s">
        <v>64</v>
      </c>
      <c r="AD59" s="0" t="s">
        <v>19</v>
      </c>
      <c r="AE59" s="0" t="s">
        <v>64</v>
      </c>
      <c r="AF59" s="0" t="s">
        <v>1846</v>
      </c>
      <c r="AG59" s="0" t="s">
        <v>4000</v>
      </c>
      <c r="AH59" s="0" t="s">
        <v>22</v>
      </c>
      <c r="AI59" s="0" t="s">
        <v>22</v>
      </c>
      <c r="AJ59" s="0" t="s">
        <v>1846</v>
      </c>
      <c r="AK59" s="0" t="s">
        <v>4000</v>
      </c>
    </row>
    <row customHeight="1" ht="11.25">
      <c r="A60" s="0" t="s">
        <v>22</v>
      </c>
      <c r="B60" s="0" t="s">
        <v>48</v>
      </c>
      <c r="C60" s="0" t="s">
        <v>50</v>
      </c>
      <c r="D60" s="0" t="s">
        <v>22</v>
      </c>
      <c r="E60" s="0" t="s">
        <v>4001</v>
      </c>
      <c r="F60" s="0" t="s">
        <v>3815</v>
      </c>
      <c r="G60" s="0" t="s">
        <v>99</v>
      </c>
      <c r="H60" s="0" t="s">
        <v>99</v>
      </c>
      <c r="I60" s="0" t="s">
        <v>100</v>
      </c>
      <c r="J60" s="0" t="s">
        <v>3887</v>
      </c>
      <c r="K60" s="0" t="s">
        <v>3888</v>
      </c>
      <c r="L60" s="0" t="s">
        <v>3889</v>
      </c>
      <c r="M60" s="0" t="s">
        <v>1938</v>
      </c>
      <c r="N60" s="0" t="s">
        <v>105</v>
      </c>
      <c r="O60" s="0" t="s">
        <v>99</v>
      </c>
      <c r="P60" s="0" t="s">
        <v>99</v>
      </c>
      <c r="Q60" s="0" t="s">
        <v>100</v>
      </c>
      <c r="R60" s="0" t="s">
        <v>3887</v>
      </c>
      <c r="S60" s="0" t="s">
        <v>3888</v>
      </c>
      <c r="T60" s="0" t="s">
        <v>3819</v>
      </c>
      <c r="U60" s="0" t="s">
        <v>3820</v>
      </c>
      <c r="V60" s="0" t="s">
        <v>713</v>
      </c>
      <c r="W60" s="0" t="s">
        <v>3807</v>
      </c>
      <c r="X60" s="0" t="s">
        <v>3821</v>
      </c>
      <c r="Y60" s="0" t="s">
        <v>3820</v>
      </c>
      <c r="Z60" s="0" t="s">
        <v>3890</v>
      </c>
      <c r="AA60" s="0" t="s">
        <v>3891</v>
      </c>
      <c r="AB60" s="0" t="s">
        <v>3840</v>
      </c>
      <c r="AC60" s="0" t="s">
        <v>64</v>
      </c>
      <c r="AD60" s="0" t="s">
        <v>19</v>
      </c>
      <c r="AE60" s="0" t="s">
        <v>19</v>
      </c>
      <c r="AF60" s="0" t="s">
        <v>1956</v>
      </c>
      <c r="AG60" s="0" t="s">
        <v>4002</v>
      </c>
      <c r="AH60" s="0" t="s">
        <v>22</v>
      </c>
      <c r="AI60" s="0" t="s">
        <v>22</v>
      </c>
      <c r="AJ60" s="0" t="s">
        <v>22</v>
      </c>
      <c r="AK60" s="0" t="s">
        <v>22</v>
      </c>
    </row>
    <row customHeight="1" ht="11.25">
      <c r="A61" s="0" t="s">
        <v>22</v>
      </c>
      <c r="B61" s="0" t="s">
        <v>48</v>
      </c>
      <c r="C61" s="0" t="s">
        <v>50</v>
      </c>
      <c r="D61" s="0" t="s">
        <v>22</v>
      </c>
      <c r="E61" s="0" t="s">
        <v>4001</v>
      </c>
      <c r="F61" s="0" t="s">
        <v>3815</v>
      </c>
      <c r="G61" s="0" t="s">
        <v>99</v>
      </c>
      <c r="H61" s="0" t="s">
        <v>99</v>
      </c>
      <c r="I61" s="0" t="s">
        <v>100</v>
      </c>
      <c r="J61" s="0" t="s">
        <v>3887</v>
      </c>
      <c r="K61" s="0" t="s">
        <v>3888</v>
      </c>
      <c r="L61" s="0" t="s">
        <v>3889</v>
      </c>
      <c r="M61" s="0" t="s">
        <v>1938</v>
      </c>
      <c r="N61" s="0" t="s">
        <v>105</v>
      </c>
      <c r="O61" s="0" t="s">
        <v>99</v>
      </c>
      <c r="P61" s="0" t="s">
        <v>99</v>
      </c>
      <c r="Q61" s="0" t="s">
        <v>100</v>
      </c>
      <c r="R61" s="0" t="s">
        <v>3887</v>
      </c>
      <c r="S61" s="0" t="s">
        <v>3888</v>
      </c>
      <c r="T61" s="0" t="s">
        <v>3819</v>
      </c>
      <c r="U61" s="0" t="s">
        <v>3820</v>
      </c>
      <c r="V61" s="0" t="s">
        <v>713</v>
      </c>
      <c r="W61" s="0" t="s">
        <v>3807</v>
      </c>
      <c r="X61" s="0" t="s">
        <v>3821</v>
      </c>
      <c r="Y61" s="0" t="s">
        <v>3820</v>
      </c>
      <c r="Z61" s="0" t="s">
        <v>3890</v>
      </c>
      <c r="AA61" s="0" t="s">
        <v>3891</v>
      </c>
      <c r="AB61" s="0" t="s">
        <v>3840</v>
      </c>
      <c r="AC61" s="0" t="s">
        <v>64</v>
      </c>
      <c r="AD61" s="0" t="s">
        <v>19</v>
      </c>
      <c r="AE61" s="0" t="s">
        <v>19</v>
      </c>
      <c r="AF61" s="0" t="s">
        <v>1956</v>
      </c>
      <c r="AG61" s="0" t="s">
        <v>4002</v>
      </c>
      <c r="AH61" s="0" t="s">
        <v>22</v>
      </c>
      <c r="AI61" s="0" t="s">
        <v>22</v>
      </c>
      <c r="AJ61" s="0" t="s">
        <v>22</v>
      </c>
      <c r="AK61" s="0" t="s">
        <v>22</v>
      </c>
    </row>
    <row customHeight="1" ht="11.25">
      <c r="A62" s="0" t="s">
        <v>22</v>
      </c>
      <c r="B62" s="0" t="s">
        <v>48</v>
      </c>
      <c r="C62" s="0" t="s">
        <v>50</v>
      </c>
      <c r="D62" s="0" t="s">
        <v>22</v>
      </c>
      <c r="E62" s="0" t="s">
        <v>4003</v>
      </c>
      <c r="F62" s="0" t="s">
        <v>1305</v>
      </c>
      <c r="G62" s="0" t="s">
        <v>99</v>
      </c>
      <c r="H62" s="0" t="s">
        <v>99</v>
      </c>
      <c r="I62" s="0" t="s">
        <v>100</v>
      </c>
      <c r="J62" s="0" t="s">
        <v>3842</v>
      </c>
      <c r="K62" s="0" t="s">
        <v>3843</v>
      </c>
      <c r="L62" s="0" t="s">
        <v>3844</v>
      </c>
      <c r="M62" s="0" t="s">
        <v>4004</v>
      </c>
      <c r="N62" s="0" t="s">
        <v>105</v>
      </c>
      <c r="O62" s="0" t="s">
        <v>99</v>
      </c>
      <c r="P62" s="0" t="s">
        <v>99</v>
      </c>
      <c r="Q62" s="0" t="s">
        <v>100</v>
      </c>
      <c r="R62" s="0" t="s">
        <v>3842</v>
      </c>
      <c r="S62" s="0" t="s">
        <v>3843</v>
      </c>
      <c r="T62" s="0" t="s">
        <v>3819</v>
      </c>
      <c r="U62" s="0" t="s">
        <v>3820</v>
      </c>
      <c r="V62" s="0" t="s">
        <v>713</v>
      </c>
      <c r="W62" s="0" t="s">
        <v>3807</v>
      </c>
      <c r="X62" s="0" t="s">
        <v>3821</v>
      </c>
      <c r="Y62" s="0" t="s">
        <v>3820</v>
      </c>
      <c r="Z62" s="0" t="s">
        <v>3846</v>
      </c>
      <c r="AA62" s="0" t="s">
        <v>3847</v>
      </c>
      <c r="AB62" s="0" t="s">
        <v>3840</v>
      </c>
      <c r="AC62" s="0" t="s">
        <v>64</v>
      </c>
      <c r="AD62" s="0" t="s">
        <v>19</v>
      </c>
      <c r="AE62" s="0" t="s">
        <v>64</v>
      </c>
      <c r="AF62" s="0" t="s">
        <v>155</v>
      </c>
      <c r="AG62" s="0" t="s">
        <v>514</v>
      </c>
      <c r="AH62" s="0" t="s">
        <v>22</v>
      </c>
      <c r="AI62" s="0" t="s">
        <v>22</v>
      </c>
      <c r="AJ62" s="0" t="s">
        <v>155</v>
      </c>
      <c r="AK62" s="0" t="s">
        <v>514</v>
      </c>
    </row>
    <row customHeight="1" ht="11.25">
      <c r="A63" s="0" t="s">
        <v>22</v>
      </c>
      <c r="B63" s="0" t="s">
        <v>48</v>
      </c>
      <c r="C63" s="0" t="s">
        <v>50</v>
      </c>
      <c r="D63" s="0" t="s">
        <v>22</v>
      </c>
      <c r="E63" s="0" t="s">
        <v>4003</v>
      </c>
      <c r="F63" s="0" t="s">
        <v>1305</v>
      </c>
      <c r="G63" s="0" t="s">
        <v>99</v>
      </c>
      <c r="H63" s="0" t="s">
        <v>99</v>
      </c>
      <c r="I63" s="0" t="s">
        <v>100</v>
      </c>
      <c r="J63" s="0" t="s">
        <v>3842</v>
      </c>
      <c r="K63" s="0" t="s">
        <v>3843</v>
      </c>
      <c r="L63" s="0" t="s">
        <v>3844</v>
      </c>
      <c r="M63" s="0" t="s">
        <v>4004</v>
      </c>
      <c r="N63" s="0" t="s">
        <v>105</v>
      </c>
      <c r="O63" s="0" t="s">
        <v>99</v>
      </c>
      <c r="P63" s="0" t="s">
        <v>99</v>
      </c>
      <c r="Q63" s="0" t="s">
        <v>100</v>
      </c>
      <c r="R63" s="0" t="s">
        <v>3842</v>
      </c>
      <c r="S63" s="0" t="s">
        <v>3843</v>
      </c>
      <c r="T63" s="0" t="s">
        <v>3819</v>
      </c>
      <c r="U63" s="0" t="s">
        <v>3820</v>
      </c>
      <c r="V63" s="0" t="s">
        <v>713</v>
      </c>
      <c r="W63" s="0" t="s">
        <v>3807</v>
      </c>
      <c r="X63" s="0" t="s">
        <v>3821</v>
      </c>
      <c r="Y63" s="0" t="s">
        <v>3820</v>
      </c>
      <c r="Z63" s="0" t="s">
        <v>3846</v>
      </c>
      <c r="AA63" s="0" t="s">
        <v>3847</v>
      </c>
      <c r="AB63" s="0" t="s">
        <v>3840</v>
      </c>
      <c r="AC63" s="0" t="s">
        <v>64</v>
      </c>
      <c r="AD63" s="0" t="s">
        <v>19</v>
      </c>
      <c r="AE63" s="0" t="s">
        <v>64</v>
      </c>
      <c r="AF63" s="0" t="s">
        <v>155</v>
      </c>
      <c r="AG63" s="0" t="s">
        <v>514</v>
      </c>
      <c r="AH63" s="0" t="s">
        <v>22</v>
      </c>
      <c r="AI63" s="0" t="s">
        <v>22</v>
      </c>
      <c r="AJ63" s="0" t="s">
        <v>155</v>
      </c>
      <c r="AK63" s="0" t="s">
        <v>514</v>
      </c>
    </row>
    <row customHeight="1" ht="11.25">
      <c r="A64" s="0" t="s">
        <v>22</v>
      </c>
      <c r="B64" s="0" t="s">
        <v>48</v>
      </c>
      <c r="C64" s="0" t="s">
        <v>50</v>
      </c>
      <c r="D64" s="0" t="s">
        <v>22</v>
      </c>
      <c r="E64" s="0" t="s">
        <v>4005</v>
      </c>
      <c r="F64" s="0" t="s">
        <v>3815</v>
      </c>
      <c r="G64" s="0" t="s">
        <v>136</v>
      </c>
      <c r="H64" s="0" t="s">
        <v>136</v>
      </c>
      <c r="I64" s="0" t="s">
        <v>137</v>
      </c>
      <c r="J64" s="0" t="s">
        <v>4006</v>
      </c>
      <c r="K64" s="0" t="s">
        <v>4007</v>
      </c>
      <c r="L64" s="0" t="s">
        <v>4008</v>
      </c>
      <c r="M64" s="0" t="s">
        <v>3818</v>
      </c>
      <c r="N64" s="0" t="s">
        <v>105</v>
      </c>
      <c r="O64" s="0" t="s">
        <v>136</v>
      </c>
      <c r="P64" s="0" t="s">
        <v>136</v>
      </c>
      <c r="Q64" s="0" t="s">
        <v>137</v>
      </c>
      <c r="R64" s="0" t="s">
        <v>4006</v>
      </c>
      <c r="S64" s="0" t="s">
        <v>4007</v>
      </c>
      <c r="T64" s="0" t="s">
        <v>3819</v>
      </c>
      <c r="U64" s="0" t="s">
        <v>3820</v>
      </c>
      <c r="V64" s="0" t="s">
        <v>713</v>
      </c>
      <c r="W64" s="0" t="s">
        <v>3807</v>
      </c>
      <c r="X64" s="0" t="s">
        <v>3821</v>
      </c>
      <c r="Y64" s="0" t="s">
        <v>4009</v>
      </c>
      <c r="Z64" s="0" t="s">
        <v>4010</v>
      </c>
      <c r="AA64" s="0" t="s">
        <v>4011</v>
      </c>
      <c r="AB64" s="0" t="s">
        <v>4012</v>
      </c>
      <c r="AC64" s="0" t="s">
        <v>64</v>
      </c>
      <c r="AD64" s="0" t="s">
        <v>19</v>
      </c>
      <c r="AE64" s="0" t="s">
        <v>19</v>
      </c>
      <c r="AF64" s="0" t="s">
        <v>4013</v>
      </c>
      <c r="AG64" s="0" t="s">
        <v>4014</v>
      </c>
      <c r="AH64" s="0" t="s">
        <v>22</v>
      </c>
      <c r="AI64" s="0" t="s">
        <v>22</v>
      </c>
      <c r="AJ64" s="0" t="s">
        <v>22</v>
      </c>
      <c r="AK64" s="0" t="s">
        <v>22</v>
      </c>
    </row>
    <row customHeight="1" ht="11.25">
      <c r="A65" s="0" t="s">
        <v>22</v>
      </c>
      <c r="B65" s="0" t="s">
        <v>48</v>
      </c>
      <c r="C65" s="0" t="s">
        <v>50</v>
      </c>
      <c r="D65" s="0" t="s">
        <v>22</v>
      </c>
      <c r="E65" s="0" t="s">
        <v>4005</v>
      </c>
      <c r="F65" s="0" t="s">
        <v>3815</v>
      </c>
      <c r="G65" s="0" t="s">
        <v>139</v>
      </c>
      <c r="H65" s="0" t="s">
        <v>143</v>
      </c>
      <c r="I65" s="0" t="s">
        <v>144</v>
      </c>
      <c r="J65" s="0" t="s">
        <v>4006</v>
      </c>
      <c r="K65" s="0" t="s">
        <v>4015</v>
      </c>
      <c r="L65" s="0" t="s">
        <v>4008</v>
      </c>
      <c r="M65" s="0" t="s">
        <v>3818</v>
      </c>
      <c r="N65" s="0" t="s">
        <v>105</v>
      </c>
      <c r="O65" s="0" t="s">
        <v>139</v>
      </c>
      <c r="P65" s="0" t="s">
        <v>143</v>
      </c>
      <c r="Q65" s="0" t="s">
        <v>144</v>
      </c>
      <c r="R65" s="0" t="s">
        <v>4006</v>
      </c>
      <c r="S65" s="0" t="s">
        <v>4015</v>
      </c>
      <c r="T65" s="0" t="s">
        <v>3819</v>
      </c>
      <c r="U65" s="0" t="s">
        <v>3820</v>
      </c>
      <c r="V65" s="0" t="s">
        <v>713</v>
      </c>
      <c r="W65" s="0" t="s">
        <v>3807</v>
      </c>
      <c r="X65" s="0" t="s">
        <v>3821</v>
      </c>
      <c r="Y65" s="0" t="s">
        <v>4009</v>
      </c>
      <c r="Z65" s="0" t="s">
        <v>4010</v>
      </c>
      <c r="AA65" s="0" t="s">
        <v>4011</v>
      </c>
      <c r="AB65" s="0" t="s">
        <v>4012</v>
      </c>
      <c r="AC65" s="0" t="s">
        <v>64</v>
      </c>
      <c r="AD65" s="0" t="s">
        <v>19</v>
      </c>
      <c r="AE65" s="0" t="s">
        <v>19</v>
      </c>
      <c r="AF65" s="0" t="s">
        <v>4013</v>
      </c>
      <c r="AG65" s="0" t="s">
        <v>4014</v>
      </c>
      <c r="AH65" s="0" t="s">
        <v>22</v>
      </c>
      <c r="AI65" s="0" t="s">
        <v>22</v>
      </c>
      <c r="AJ65" s="0" t="s">
        <v>22</v>
      </c>
      <c r="AK65" s="0" t="s">
        <v>22</v>
      </c>
    </row>
    <row customHeight="1" ht="11.25">
      <c r="A66" s="0" t="s">
        <v>22</v>
      </c>
      <c r="B66" s="0" t="s">
        <v>48</v>
      </c>
      <c r="C66" s="0" t="s">
        <v>50</v>
      </c>
      <c r="D66" s="0" t="s">
        <v>22</v>
      </c>
      <c r="E66" s="0" t="s">
        <v>4016</v>
      </c>
      <c r="F66" s="0" t="s">
        <v>1305</v>
      </c>
      <c r="G66" s="0" t="s">
        <v>127</v>
      </c>
      <c r="H66" s="0" t="s">
        <v>127</v>
      </c>
      <c r="I66" s="0" t="s">
        <v>128</v>
      </c>
      <c r="J66" s="0" t="s">
        <v>3958</v>
      </c>
      <c r="K66" s="0" t="s">
        <v>3959</v>
      </c>
      <c r="L66" s="0" t="s">
        <v>4017</v>
      </c>
      <c r="M66" s="0" t="s">
        <v>157</v>
      </c>
      <c r="N66" s="0" t="s">
        <v>105</v>
      </c>
      <c r="O66" s="0" t="s">
        <v>127</v>
      </c>
      <c r="P66" s="0" t="s">
        <v>127</v>
      </c>
      <c r="Q66" s="0" t="s">
        <v>128</v>
      </c>
      <c r="R66" s="0" t="s">
        <v>3958</v>
      </c>
      <c r="S66" s="0" t="s">
        <v>3959</v>
      </c>
      <c r="T66" s="0" t="s">
        <v>3805</v>
      </c>
      <c r="U66" s="0" t="s">
        <v>3806</v>
      </c>
      <c r="V66" s="0" t="s">
        <v>713</v>
      </c>
      <c r="W66" s="0" t="s">
        <v>3807</v>
      </c>
      <c r="X66" s="0" t="s">
        <v>3854</v>
      </c>
      <c r="Y66" s="0" t="s">
        <v>3806</v>
      </c>
      <c r="Z66" s="0" t="s">
        <v>4018</v>
      </c>
      <c r="AA66" s="0" t="s">
        <v>3912</v>
      </c>
      <c r="AB66" s="0" t="s">
        <v>4019</v>
      </c>
      <c r="AC66" s="0" t="s">
        <v>64</v>
      </c>
      <c r="AD66" s="0" t="s">
        <v>19</v>
      </c>
      <c r="AE66" s="0" t="s">
        <v>64</v>
      </c>
      <c r="AF66" s="0" t="s">
        <v>4020</v>
      </c>
      <c r="AG66" s="0" t="s">
        <v>4021</v>
      </c>
      <c r="AH66" s="0" t="s">
        <v>22</v>
      </c>
      <c r="AI66" s="0" t="s">
        <v>22</v>
      </c>
      <c r="AJ66" s="0" t="s">
        <v>4020</v>
      </c>
      <c r="AK66" s="0" t="s">
        <v>4021</v>
      </c>
    </row>
    <row customHeight="1" ht="11.25">
      <c r="A67" s="0" t="s">
        <v>22</v>
      </c>
      <c r="B67" s="0" t="s">
        <v>48</v>
      </c>
      <c r="C67" s="0" t="s">
        <v>50</v>
      </c>
      <c r="D67" s="0" t="s">
        <v>22</v>
      </c>
      <c r="E67" s="0" t="s">
        <v>4016</v>
      </c>
      <c r="F67" s="0" t="s">
        <v>1305</v>
      </c>
      <c r="G67" s="0" t="s">
        <v>127</v>
      </c>
      <c r="H67" s="0" t="s">
        <v>127</v>
      </c>
      <c r="I67" s="0" t="s">
        <v>128</v>
      </c>
      <c r="J67" s="0" t="s">
        <v>3958</v>
      </c>
      <c r="K67" s="0" t="s">
        <v>3959</v>
      </c>
      <c r="L67" s="0" t="s">
        <v>4017</v>
      </c>
      <c r="M67" s="0" t="s">
        <v>157</v>
      </c>
      <c r="N67" s="0" t="s">
        <v>105</v>
      </c>
      <c r="O67" s="0" t="s">
        <v>127</v>
      </c>
      <c r="P67" s="0" t="s">
        <v>127</v>
      </c>
      <c r="Q67" s="0" t="s">
        <v>128</v>
      </c>
      <c r="R67" s="0" t="s">
        <v>3958</v>
      </c>
      <c r="S67" s="0" t="s">
        <v>3959</v>
      </c>
      <c r="T67" s="0" t="s">
        <v>3805</v>
      </c>
      <c r="U67" s="0" t="s">
        <v>3806</v>
      </c>
      <c r="V67" s="0" t="s">
        <v>713</v>
      </c>
      <c r="W67" s="0" t="s">
        <v>3807</v>
      </c>
      <c r="X67" s="0" t="s">
        <v>3854</v>
      </c>
      <c r="Y67" s="0" t="s">
        <v>3806</v>
      </c>
      <c r="Z67" s="0" t="s">
        <v>4018</v>
      </c>
      <c r="AA67" s="0" t="s">
        <v>3912</v>
      </c>
      <c r="AB67" s="0" t="s">
        <v>4019</v>
      </c>
      <c r="AC67" s="0" t="s">
        <v>64</v>
      </c>
      <c r="AD67" s="0" t="s">
        <v>19</v>
      </c>
      <c r="AE67" s="0" t="s">
        <v>64</v>
      </c>
      <c r="AF67" s="0" t="s">
        <v>4020</v>
      </c>
      <c r="AG67" s="0" t="s">
        <v>4021</v>
      </c>
      <c r="AH67" s="0" t="s">
        <v>22</v>
      </c>
      <c r="AI67" s="0" t="s">
        <v>22</v>
      </c>
      <c r="AJ67" s="0" t="s">
        <v>4020</v>
      </c>
      <c r="AK67" s="0" t="s">
        <v>4021</v>
      </c>
    </row>
    <row customHeight="1" ht="11.25">
      <c r="A68" s="0" t="s">
        <v>22</v>
      </c>
      <c r="B68" s="0" t="s">
        <v>48</v>
      </c>
      <c r="C68" s="0" t="s">
        <v>50</v>
      </c>
      <c r="D68" s="0" t="s">
        <v>22</v>
      </c>
      <c r="E68" s="0" t="s">
        <v>4022</v>
      </c>
      <c r="F68" s="0" t="s">
        <v>4023</v>
      </c>
      <c r="G68" s="0" t="s">
        <v>163</v>
      </c>
      <c r="H68" s="0" t="s">
        <v>163</v>
      </c>
      <c r="I68" s="0" t="s">
        <v>164</v>
      </c>
      <c r="J68" s="0" t="s">
        <v>3989</v>
      </c>
      <c r="K68" s="0" t="s">
        <v>3990</v>
      </c>
      <c r="L68" s="0" t="s">
        <v>4024</v>
      </c>
      <c r="M68" s="0" t="s">
        <v>4025</v>
      </c>
      <c r="N68" s="0" t="s">
        <v>105</v>
      </c>
      <c r="O68" s="0" t="s">
        <v>163</v>
      </c>
      <c r="P68" s="0" t="s">
        <v>163</v>
      </c>
      <c r="Q68" s="0" t="s">
        <v>164</v>
      </c>
      <c r="R68" s="0" t="s">
        <v>3989</v>
      </c>
      <c r="S68" s="0" t="s">
        <v>3990</v>
      </c>
      <c r="T68" s="0" t="s">
        <v>4026</v>
      </c>
      <c r="U68" s="0" t="s">
        <v>3939</v>
      </c>
      <c r="V68" s="0" t="s">
        <v>4027</v>
      </c>
      <c r="W68" s="0" t="s">
        <v>3807</v>
      </c>
      <c r="X68" s="0" t="s">
        <v>3821</v>
      </c>
      <c r="Y68" s="0" t="s">
        <v>3820</v>
      </c>
      <c r="Z68" s="0" t="s">
        <v>4028</v>
      </c>
      <c r="AA68" s="0" t="s">
        <v>4029</v>
      </c>
      <c r="AB68" s="0" t="s">
        <v>4027</v>
      </c>
      <c r="AC68" s="0" t="s">
        <v>19</v>
      </c>
      <c r="AD68" s="0" t="s">
        <v>64</v>
      </c>
      <c r="AE68" s="0" t="s">
        <v>19</v>
      </c>
      <c r="AF68" s="0" t="s">
        <v>22</v>
      </c>
      <c r="AG68" s="0" t="s">
        <v>22</v>
      </c>
      <c r="AH68" s="0" t="s">
        <v>4030</v>
      </c>
      <c r="AI68" s="0" t="s">
        <v>4031</v>
      </c>
      <c r="AJ68" s="0" t="s">
        <v>22</v>
      </c>
      <c r="AK68" s="0" t="s">
        <v>22</v>
      </c>
    </row>
    <row customHeight="1" ht="11.25">
      <c r="A69" s="0" t="s">
        <v>22</v>
      </c>
      <c r="B69" s="0" t="s">
        <v>48</v>
      </c>
      <c r="C69" s="0" t="s">
        <v>50</v>
      </c>
      <c r="D69" s="0" t="s">
        <v>22</v>
      </c>
      <c r="E69" s="0" t="s">
        <v>4022</v>
      </c>
      <c r="F69" s="0" t="s">
        <v>4023</v>
      </c>
      <c r="G69" s="0" t="s">
        <v>163</v>
      </c>
      <c r="H69" s="0" t="s">
        <v>163</v>
      </c>
      <c r="I69" s="0" t="s">
        <v>164</v>
      </c>
      <c r="J69" s="0" t="s">
        <v>3989</v>
      </c>
      <c r="K69" s="0" t="s">
        <v>3990</v>
      </c>
      <c r="L69" s="0" t="s">
        <v>4024</v>
      </c>
      <c r="M69" s="0" t="s">
        <v>4025</v>
      </c>
      <c r="N69" s="0" t="s">
        <v>105</v>
      </c>
      <c r="O69" s="0" t="s">
        <v>163</v>
      </c>
      <c r="P69" s="0" t="s">
        <v>163</v>
      </c>
      <c r="Q69" s="0" t="s">
        <v>164</v>
      </c>
      <c r="R69" s="0" t="s">
        <v>3989</v>
      </c>
      <c r="S69" s="0" t="s">
        <v>3990</v>
      </c>
      <c r="T69" s="0" t="s">
        <v>4026</v>
      </c>
      <c r="U69" s="0" t="s">
        <v>3939</v>
      </c>
      <c r="V69" s="0" t="s">
        <v>4027</v>
      </c>
      <c r="W69" s="0" t="s">
        <v>3807</v>
      </c>
      <c r="X69" s="0" t="s">
        <v>3821</v>
      </c>
      <c r="Y69" s="0" t="s">
        <v>3820</v>
      </c>
      <c r="Z69" s="0" t="s">
        <v>4028</v>
      </c>
      <c r="AA69" s="0" t="s">
        <v>4029</v>
      </c>
      <c r="AB69" s="0" t="s">
        <v>4027</v>
      </c>
      <c r="AC69" s="0" t="s">
        <v>19</v>
      </c>
      <c r="AD69" s="0" t="s">
        <v>64</v>
      </c>
      <c r="AE69" s="0" t="s">
        <v>19</v>
      </c>
      <c r="AF69" s="0" t="s">
        <v>22</v>
      </c>
      <c r="AG69" s="0" t="s">
        <v>22</v>
      </c>
      <c r="AH69" s="0" t="s">
        <v>4030</v>
      </c>
      <c r="AI69" s="0" t="s">
        <v>4031</v>
      </c>
      <c r="AJ69" s="0" t="s">
        <v>22</v>
      </c>
      <c r="AK69" s="0" t="s">
        <v>22</v>
      </c>
    </row>
    <row customHeight="1" ht="11.25">
      <c r="A70" s="0" t="s">
        <v>22</v>
      </c>
      <c r="B70" s="0" t="s">
        <v>48</v>
      </c>
      <c r="C70" s="0" t="s">
        <v>50</v>
      </c>
      <c r="D70" s="0" t="s">
        <v>22</v>
      </c>
      <c r="E70" s="0" t="s">
        <v>4032</v>
      </c>
      <c r="F70" s="0" t="s">
        <v>1305</v>
      </c>
      <c r="G70" s="0" t="s">
        <v>136</v>
      </c>
      <c r="H70" s="0" t="s">
        <v>136</v>
      </c>
      <c r="I70" s="0" t="s">
        <v>137</v>
      </c>
      <c r="J70" s="0" t="s">
        <v>4033</v>
      </c>
      <c r="K70" s="0" t="s">
        <v>4034</v>
      </c>
      <c r="L70" s="0" t="s">
        <v>1318</v>
      </c>
      <c r="M70" s="0" t="s">
        <v>4035</v>
      </c>
      <c r="N70" s="0" t="s">
        <v>105</v>
      </c>
      <c r="O70" s="0" t="s">
        <v>136</v>
      </c>
      <c r="P70" s="0" t="s">
        <v>136</v>
      </c>
      <c r="Q70" s="0" t="s">
        <v>137</v>
      </c>
      <c r="R70" s="0" t="s">
        <v>4033</v>
      </c>
      <c r="S70" s="0" t="s">
        <v>4034</v>
      </c>
      <c r="T70" s="0" t="s">
        <v>3819</v>
      </c>
      <c r="U70" s="0" t="s">
        <v>3820</v>
      </c>
      <c r="V70" s="0" t="s">
        <v>713</v>
      </c>
      <c r="W70" s="0" t="s">
        <v>3807</v>
      </c>
      <c r="X70" s="0" t="s">
        <v>3821</v>
      </c>
      <c r="Y70" s="0" t="s">
        <v>3820</v>
      </c>
      <c r="Z70" s="0" t="s">
        <v>3976</v>
      </c>
      <c r="AA70" s="0" t="s">
        <v>3977</v>
      </c>
      <c r="AB70" s="0" t="s">
        <v>3978</v>
      </c>
      <c r="AC70" s="0" t="s">
        <v>64</v>
      </c>
      <c r="AD70" s="0" t="s">
        <v>19</v>
      </c>
      <c r="AE70" s="0" t="s">
        <v>64</v>
      </c>
      <c r="AF70" s="0" t="s">
        <v>1921</v>
      </c>
      <c r="AG70" s="0" t="s">
        <v>4036</v>
      </c>
      <c r="AH70" s="0" t="s">
        <v>22</v>
      </c>
      <c r="AI70" s="0" t="s">
        <v>22</v>
      </c>
      <c r="AJ70" s="0" t="s">
        <v>1921</v>
      </c>
      <c r="AK70" s="0" t="s">
        <v>4036</v>
      </c>
    </row>
    <row customHeight="1" ht="11.25">
      <c r="A71" s="0" t="s">
        <v>22</v>
      </c>
      <c r="B71" s="0" t="s">
        <v>48</v>
      </c>
      <c r="C71" s="0" t="s">
        <v>50</v>
      </c>
      <c r="D71" s="0" t="s">
        <v>22</v>
      </c>
      <c r="E71" s="0" t="s">
        <v>4032</v>
      </c>
      <c r="F71" s="0" t="s">
        <v>1305</v>
      </c>
      <c r="G71" s="0" t="s">
        <v>139</v>
      </c>
      <c r="H71" s="0" t="s">
        <v>3675</v>
      </c>
      <c r="I71" s="0" t="s">
        <v>3676</v>
      </c>
      <c r="J71" s="0" t="s">
        <v>4033</v>
      </c>
      <c r="K71" s="0" t="s">
        <v>4037</v>
      </c>
      <c r="L71" s="0" t="s">
        <v>1318</v>
      </c>
      <c r="M71" s="0" t="s">
        <v>4035</v>
      </c>
      <c r="N71" s="0" t="s">
        <v>105</v>
      </c>
      <c r="O71" s="0" t="s">
        <v>139</v>
      </c>
      <c r="P71" s="0" t="s">
        <v>3675</v>
      </c>
      <c r="Q71" s="0" t="s">
        <v>3676</v>
      </c>
      <c r="R71" s="0" t="s">
        <v>4033</v>
      </c>
      <c r="S71" s="0" t="s">
        <v>4037</v>
      </c>
      <c r="T71" s="0" t="s">
        <v>3819</v>
      </c>
      <c r="U71" s="0" t="s">
        <v>3820</v>
      </c>
      <c r="V71" s="0" t="s">
        <v>713</v>
      </c>
      <c r="W71" s="0" t="s">
        <v>3807</v>
      </c>
      <c r="X71" s="0" t="s">
        <v>3821</v>
      </c>
      <c r="Y71" s="0" t="s">
        <v>3820</v>
      </c>
      <c r="Z71" s="0" t="s">
        <v>3976</v>
      </c>
      <c r="AA71" s="0" t="s">
        <v>3977</v>
      </c>
      <c r="AB71" s="0" t="s">
        <v>3978</v>
      </c>
      <c r="AC71" s="0" t="s">
        <v>64</v>
      </c>
      <c r="AD71" s="0" t="s">
        <v>19</v>
      </c>
      <c r="AE71" s="0" t="s">
        <v>64</v>
      </c>
      <c r="AF71" s="0" t="s">
        <v>1921</v>
      </c>
      <c r="AG71" s="0" t="s">
        <v>4036</v>
      </c>
      <c r="AH71" s="0" t="s">
        <v>22</v>
      </c>
      <c r="AI71" s="0" t="s">
        <v>22</v>
      </c>
      <c r="AJ71" s="0" t="s">
        <v>1921</v>
      </c>
      <c r="AK71" s="0" t="s">
        <v>4036</v>
      </c>
    </row>
    <row customHeight="1" ht="11.25">
      <c r="A72" s="0" t="s">
        <v>22</v>
      </c>
      <c r="B72" s="0" t="s">
        <v>48</v>
      </c>
      <c r="C72" s="0" t="s">
        <v>50</v>
      </c>
      <c r="D72" s="0" t="s">
        <v>22</v>
      </c>
      <c r="E72" s="0" t="s">
        <v>4038</v>
      </c>
      <c r="F72" s="0" t="s">
        <v>1305</v>
      </c>
      <c r="G72" s="0" t="s">
        <v>136</v>
      </c>
      <c r="H72" s="0" t="s">
        <v>136</v>
      </c>
      <c r="I72" s="0" t="s">
        <v>137</v>
      </c>
      <c r="J72" s="0" t="s">
        <v>4033</v>
      </c>
      <c r="K72" s="0" t="s">
        <v>4034</v>
      </c>
      <c r="L72" s="0" t="s">
        <v>4039</v>
      </c>
      <c r="M72" s="0" t="s">
        <v>4040</v>
      </c>
      <c r="N72" s="0" t="s">
        <v>105</v>
      </c>
      <c r="O72" s="0" t="s">
        <v>136</v>
      </c>
      <c r="P72" s="0" t="s">
        <v>136</v>
      </c>
      <c r="Q72" s="0" t="s">
        <v>137</v>
      </c>
      <c r="R72" s="0" t="s">
        <v>4033</v>
      </c>
      <c r="S72" s="0" t="s">
        <v>4034</v>
      </c>
      <c r="T72" s="0" t="s">
        <v>3819</v>
      </c>
      <c r="U72" s="0" t="s">
        <v>3820</v>
      </c>
      <c r="V72" s="0" t="s">
        <v>713</v>
      </c>
      <c r="W72" s="0" t="s">
        <v>3807</v>
      </c>
      <c r="X72" s="0" t="s">
        <v>3821</v>
      </c>
      <c r="Y72" s="0" t="s">
        <v>3820</v>
      </c>
      <c r="Z72" s="0" t="s">
        <v>3976</v>
      </c>
      <c r="AA72" s="0" t="s">
        <v>3977</v>
      </c>
      <c r="AB72" s="0" t="s">
        <v>3978</v>
      </c>
      <c r="AC72" s="0" t="s">
        <v>64</v>
      </c>
      <c r="AD72" s="0" t="s">
        <v>19</v>
      </c>
      <c r="AE72" s="0" t="s">
        <v>64</v>
      </c>
      <c r="AF72" s="0" t="s">
        <v>90</v>
      </c>
      <c r="AG72" s="0" t="s">
        <v>4041</v>
      </c>
      <c r="AH72" s="0" t="s">
        <v>22</v>
      </c>
      <c r="AI72" s="0" t="s">
        <v>22</v>
      </c>
      <c r="AJ72" s="0" t="s">
        <v>90</v>
      </c>
      <c r="AK72" s="0" t="s">
        <v>4041</v>
      </c>
    </row>
    <row customHeight="1" ht="11.25">
      <c r="A73" s="0" t="s">
        <v>22</v>
      </c>
      <c r="B73" s="0" t="s">
        <v>48</v>
      </c>
      <c r="C73" s="0" t="s">
        <v>50</v>
      </c>
      <c r="D73" s="0" t="s">
        <v>22</v>
      </c>
      <c r="E73" s="0" t="s">
        <v>4038</v>
      </c>
      <c r="F73" s="0" t="s">
        <v>1305</v>
      </c>
      <c r="G73" s="0" t="s">
        <v>139</v>
      </c>
      <c r="H73" s="0" t="s">
        <v>3675</v>
      </c>
      <c r="I73" s="0" t="s">
        <v>3676</v>
      </c>
      <c r="J73" s="0" t="s">
        <v>4033</v>
      </c>
      <c r="K73" s="0" t="s">
        <v>4037</v>
      </c>
      <c r="L73" s="0" t="s">
        <v>4039</v>
      </c>
      <c r="M73" s="0" t="s">
        <v>4040</v>
      </c>
      <c r="N73" s="0" t="s">
        <v>105</v>
      </c>
      <c r="O73" s="0" t="s">
        <v>139</v>
      </c>
      <c r="P73" s="0" t="s">
        <v>3675</v>
      </c>
      <c r="Q73" s="0" t="s">
        <v>3676</v>
      </c>
      <c r="R73" s="0" t="s">
        <v>4033</v>
      </c>
      <c r="S73" s="0" t="s">
        <v>4037</v>
      </c>
      <c r="T73" s="0" t="s">
        <v>3819</v>
      </c>
      <c r="U73" s="0" t="s">
        <v>3820</v>
      </c>
      <c r="V73" s="0" t="s">
        <v>713</v>
      </c>
      <c r="W73" s="0" t="s">
        <v>3807</v>
      </c>
      <c r="X73" s="0" t="s">
        <v>3821</v>
      </c>
      <c r="Y73" s="0" t="s">
        <v>3820</v>
      </c>
      <c r="Z73" s="0" t="s">
        <v>3976</v>
      </c>
      <c r="AA73" s="0" t="s">
        <v>3977</v>
      </c>
      <c r="AB73" s="0" t="s">
        <v>3978</v>
      </c>
      <c r="AC73" s="0" t="s">
        <v>64</v>
      </c>
      <c r="AD73" s="0" t="s">
        <v>19</v>
      </c>
      <c r="AE73" s="0" t="s">
        <v>64</v>
      </c>
      <c r="AF73" s="0" t="s">
        <v>90</v>
      </c>
      <c r="AG73" s="0" t="s">
        <v>4041</v>
      </c>
      <c r="AH73" s="0" t="s">
        <v>22</v>
      </c>
      <c r="AI73" s="0" t="s">
        <v>22</v>
      </c>
      <c r="AJ73" s="0" t="s">
        <v>90</v>
      </c>
      <c r="AK73" s="0" t="s">
        <v>4041</v>
      </c>
    </row>
    <row customHeight="1" ht="11.25">
      <c r="A74" s="0" t="s">
        <v>22</v>
      </c>
      <c r="B74" s="0" t="s">
        <v>48</v>
      </c>
      <c r="C74" s="0" t="s">
        <v>50</v>
      </c>
      <c r="D74" s="0" t="s">
        <v>22</v>
      </c>
      <c r="E74" s="0" t="s">
        <v>4042</v>
      </c>
      <c r="F74" s="0" t="s">
        <v>1305</v>
      </c>
      <c r="G74" s="0" t="s">
        <v>136</v>
      </c>
      <c r="H74" s="0" t="s">
        <v>136</v>
      </c>
      <c r="I74" s="0" t="s">
        <v>137</v>
      </c>
      <c r="J74" s="0" t="s">
        <v>4033</v>
      </c>
      <c r="K74" s="0" t="s">
        <v>4034</v>
      </c>
      <c r="L74" s="0" t="s">
        <v>4043</v>
      </c>
      <c r="M74" s="0" t="s">
        <v>3645</v>
      </c>
      <c r="N74" s="0" t="s">
        <v>105</v>
      </c>
      <c r="O74" s="0" t="s">
        <v>136</v>
      </c>
      <c r="P74" s="0" t="s">
        <v>136</v>
      </c>
      <c r="Q74" s="0" t="s">
        <v>137</v>
      </c>
      <c r="R74" s="0" t="s">
        <v>4033</v>
      </c>
      <c r="S74" s="0" t="s">
        <v>4034</v>
      </c>
      <c r="T74" s="0" t="s">
        <v>3819</v>
      </c>
      <c r="U74" s="0" t="s">
        <v>3820</v>
      </c>
      <c r="V74" s="0" t="s">
        <v>713</v>
      </c>
      <c r="W74" s="0" t="s">
        <v>3807</v>
      </c>
      <c r="X74" s="0" t="s">
        <v>3821</v>
      </c>
      <c r="Y74" s="0" t="s">
        <v>3820</v>
      </c>
      <c r="Z74" s="0" t="s">
        <v>3976</v>
      </c>
      <c r="AA74" s="0" t="s">
        <v>3977</v>
      </c>
      <c r="AB74" s="0" t="s">
        <v>3978</v>
      </c>
      <c r="AC74" s="0" t="s">
        <v>64</v>
      </c>
      <c r="AD74" s="0" t="s">
        <v>19</v>
      </c>
      <c r="AE74" s="0" t="s">
        <v>64</v>
      </c>
      <c r="AF74" s="0" t="s">
        <v>90</v>
      </c>
      <c r="AG74" s="0" t="s">
        <v>4044</v>
      </c>
      <c r="AH74" s="0" t="s">
        <v>22</v>
      </c>
      <c r="AI74" s="0" t="s">
        <v>22</v>
      </c>
      <c r="AJ74" s="0" t="s">
        <v>90</v>
      </c>
      <c r="AK74" s="0" t="s">
        <v>4044</v>
      </c>
    </row>
    <row customHeight="1" ht="11.25">
      <c r="A75" s="0" t="s">
        <v>22</v>
      </c>
      <c r="B75" s="0" t="s">
        <v>48</v>
      </c>
      <c r="C75" s="0" t="s">
        <v>50</v>
      </c>
      <c r="D75" s="0" t="s">
        <v>22</v>
      </c>
      <c r="E75" s="0" t="s">
        <v>4042</v>
      </c>
      <c r="F75" s="0" t="s">
        <v>1305</v>
      </c>
      <c r="G75" s="0" t="s">
        <v>139</v>
      </c>
      <c r="H75" s="0" t="s">
        <v>3675</v>
      </c>
      <c r="I75" s="0" t="s">
        <v>3676</v>
      </c>
      <c r="J75" s="0" t="s">
        <v>4033</v>
      </c>
      <c r="K75" s="0" t="s">
        <v>4037</v>
      </c>
      <c r="L75" s="0" t="s">
        <v>4043</v>
      </c>
      <c r="M75" s="0" t="s">
        <v>3645</v>
      </c>
      <c r="N75" s="0" t="s">
        <v>105</v>
      </c>
      <c r="O75" s="0" t="s">
        <v>139</v>
      </c>
      <c r="P75" s="0" t="s">
        <v>3675</v>
      </c>
      <c r="Q75" s="0" t="s">
        <v>3676</v>
      </c>
      <c r="R75" s="0" t="s">
        <v>4033</v>
      </c>
      <c r="S75" s="0" t="s">
        <v>4037</v>
      </c>
      <c r="T75" s="0" t="s">
        <v>3819</v>
      </c>
      <c r="U75" s="0" t="s">
        <v>3820</v>
      </c>
      <c r="V75" s="0" t="s">
        <v>713</v>
      </c>
      <c r="W75" s="0" t="s">
        <v>3807</v>
      </c>
      <c r="X75" s="0" t="s">
        <v>3821</v>
      </c>
      <c r="Y75" s="0" t="s">
        <v>3820</v>
      </c>
      <c r="Z75" s="0" t="s">
        <v>3976</v>
      </c>
      <c r="AA75" s="0" t="s">
        <v>3977</v>
      </c>
      <c r="AB75" s="0" t="s">
        <v>3978</v>
      </c>
      <c r="AC75" s="0" t="s">
        <v>64</v>
      </c>
      <c r="AD75" s="0" t="s">
        <v>19</v>
      </c>
      <c r="AE75" s="0" t="s">
        <v>64</v>
      </c>
      <c r="AF75" s="0" t="s">
        <v>90</v>
      </c>
      <c r="AG75" s="0" t="s">
        <v>4044</v>
      </c>
      <c r="AH75" s="0" t="s">
        <v>22</v>
      </c>
      <c r="AI75" s="0" t="s">
        <v>22</v>
      </c>
      <c r="AJ75" s="0" t="s">
        <v>90</v>
      </c>
      <c r="AK75" s="0" t="s">
        <v>4044</v>
      </c>
    </row>
    <row customHeight="1" ht="11.25">
      <c r="A76" s="0" t="s">
        <v>22</v>
      </c>
      <c r="B76" s="0" t="s">
        <v>48</v>
      </c>
      <c r="C76" s="0" t="s">
        <v>50</v>
      </c>
      <c r="D76" s="0" t="s">
        <v>22</v>
      </c>
      <c r="E76" s="0" t="s">
        <v>4045</v>
      </c>
      <c r="F76" s="0" t="s">
        <v>1305</v>
      </c>
      <c r="G76" s="0" t="s">
        <v>136</v>
      </c>
      <c r="H76" s="0" t="s">
        <v>136</v>
      </c>
      <c r="I76" s="0" t="s">
        <v>137</v>
      </c>
      <c r="J76" s="0" t="s">
        <v>4033</v>
      </c>
      <c r="K76" s="0" t="s">
        <v>4034</v>
      </c>
      <c r="L76" s="0" t="s">
        <v>4046</v>
      </c>
      <c r="M76" s="0" t="s">
        <v>4047</v>
      </c>
      <c r="N76" s="0" t="s">
        <v>105</v>
      </c>
      <c r="O76" s="0" t="s">
        <v>136</v>
      </c>
      <c r="P76" s="0" t="s">
        <v>136</v>
      </c>
      <c r="Q76" s="0" t="s">
        <v>137</v>
      </c>
      <c r="R76" s="0" t="s">
        <v>4033</v>
      </c>
      <c r="S76" s="0" t="s">
        <v>4034</v>
      </c>
      <c r="T76" s="0" t="s">
        <v>3819</v>
      </c>
      <c r="U76" s="0" t="s">
        <v>3820</v>
      </c>
      <c r="V76" s="0" t="s">
        <v>713</v>
      </c>
      <c r="W76" s="0" t="s">
        <v>3807</v>
      </c>
      <c r="X76" s="0" t="s">
        <v>3821</v>
      </c>
      <c r="Y76" s="0" t="s">
        <v>3820</v>
      </c>
      <c r="Z76" s="0" t="s">
        <v>3976</v>
      </c>
      <c r="AA76" s="0" t="s">
        <v>3977</v>
      </c>
      <c r="AB76" s="0" t="s">
        <v>3978</v>
      </c>
      <c r="AC76" s="0" t="s">
        <v>64</v>
      </c>
      <c r="AD76" s="0" t="s">
        <v>19</v>
      </c>
      <c r="AE76" s="0" t="s">
        <v>64</v>
      </c>
      <c r="AF76" s="0" t="s">
        <v>4048</v>
      </c>
      <c r="AG76" s="0" t="s">
        <v>4049</v>
      </c>
      <c r="AH76" s="0" t="s">
        <v>22</v>
      </c>
      <c r="AI76" s="0" t="s">
        <v>22</v>
      </c>
      <c r="AJ76" s="0" t="s">
        <v>4048</v>
      </c>
      <c r="AK76" s="0" t="s">
        <v>4049</v>
      </c>
    </row>
    <row customHeight="1" ht="11.25">
      <c r="A77" s="0" t="s">
        <v>22</v>
      </c>
      <c r="B77" s="0" t="s">
        <v>48</v>
      </c>
      <c r="C77" s="0" t="s">
        <v>50</v>
      </c>
      <c r="D77" s="0" t="s">
        <v>22</v>
      </c>
      <c r="E77" s="0" t="s">
        <v>4045</v>
      </c>
      <c r="F77" s="0" t="s">
        <v>1305</v>
      </c>
      <c r="G77" s="0" t="s">
        <v>139</v>
      </c>
      <c r="H77" s="0" t="s">
        <v>3675</v>
      </c>
      <c r="I77" s="0" t="s">
        <v>3676</v>
      </c>
      <c r="J77" s="0" t="s">
        <v>4033</v>
      </c>
      <c r="K77" s="0" t="s">
        <v>4037</v>
      </c>
      <c r="L77" s="0" t="s">
        <v>4046</v>
      </c>
      <c r="M77" s="0" t="s">
        <v>4047</v>
      </c>
      <c r="N77" s="0" t="s">
        <v>105</v>
      </c>
      <c r="O77" s="0" t="s">
        <v>139</v>
      </c>
      <c r="P77" s="0" t="s">
        <v>3675</v>
      </c>
      <c r="Q77" s="0" t="s">
        <v>3676</v>
      </c>
      <c r="R77" s="0" t="s">
        <v>4033</v>
      </c>
      <c r="S77" s="0" t="s">
        <v>4037</v>
      </c>
      <c r="T77" s="0" t="s">
        <v>3819</v>
      </c>
      <c r="U77" s="0" t="s">
        <v>3820</v>
      </c>
      <c r="V77" s="0" t="s">
        <v>713</v>
      </c>
      <c r="W77" s="0" t="s">
        <v>3807</v>
      </c>
      <c r="X77" s="0" t="s">
        <v>3821</v>
      </c>
      <c r="Y77" s="0" t="s">
        <v>3820</v>
      </c>
      <c r="Z77" s="0" t="s">
        <v>3976</v>
      </c>
      <c r="AA77" s="0" t="s">
        <v>3977</v>
      </c>
      <c r="AB77" s="0" t="s">
        <v>3978</v>
      </c>
      <c r="AC77" s="0" t="s">
        <v>64</v>
      </c>
      <c r="AD77" s="0" t="s">
        <v>19</v>
      </c>
      <c r="AE77" s="0" t="s">
        <v>64</v>
      </c>
      <c r="AF77" s="0" t="s">
        <v>4048</v>
      </c>
      <c r="AG77" s="0" t="s">
        <v>4049</v>
      </c>
      <c r="AH77" s="0" t="s">
        <v>22</v>
      </c>
      <c r="AI77" s="0" t="s">
        <v>22</v>
      </c>
      <c r="AJ77" s="0" t="s">
        <v>4048</v>
      </c>
      <c r="AK77" s="0" t="s">
        <v>4049</v>
      </c>
    </row>
    <row customHeight="1" ht="11.25">
      <c r="A78" s="0" t="s">
        <v>22</v>
      </c>
      <c r="B78" s="0" t="s">
        <v>48</v>
      </c>
      <c r="C78" s="0" t="s">
        <v>50</v>
      </c>
      <c r="D78" s="0" t="s">
        <v>22</v>
      </c>
      <c r="E78" s="0" t="s">
        <v>4050</v>
      </c>
      <c r="F78" s="0" t="s">
        <v>1305</v>
      </c>
      <c r="G78" s="0" t="s">
        <v>136</v>
      </c>
      <c r="H78" s="0" t="s">
        <v>136</v>
      </c>
      <c r="I78" s="0" t="s">
        <v>137</v>
      </c>
      <c r="J78" s="0" t="s">
        <v>4033</v>
      </c>
      <c r="K78" s="0" t="s">
        <v>4034</v>
      </c>
      <c r="L78" s="0" t="s">
        <v>4039</v>
      </c>
      <c r="M78" s="0" t="s">
        <v>4051</v>
      </c>
      <c r="N78" s="0" t="s">
        <v>105</v>
      </c>
      <c r="O78" s="0" t="s">
        <v>136</v>
      </c>
      <c r="P78" s="0" t="s">
        <v>136</v>
      </c>
      <c r="Q78" s="0" t="s">
        <v>137</v>
      </c>
      <c r="R78" s="0" t="s">
        <v>4033</v>
      </c>
      <c r="S78" s="0" t="s">
        <v>4034</v>
      </c>
      <c r="T78" s="0" t="s">
        <v>3819</v>
      </c>
      <c r="U78" s="0" t="s">
        <v>3820</v>
      </c>
      <c r="V78" s="0" t="s">
        <v>713</v>
      </c>
      <c r="W78" s="0" t="s">
        <v>3807</v>
      </c>
      <c r="X78" s="0" t="s">
        <v>3821</v>
      </c>
      <c r="Y78" s="0" t="s">
        <v>3820</v>
      </c>
      <c r="Z78" s="0" t="s">
        <v>3976</v>
      </c>
      <c r="AA78" s="0" t="s">
        <v>3977</v>
      </c>
      <c r="AB78" s="0" t="s">
        <v>3978</v>
      </c>
      <c r="AC78" s="0" t="s">
        <v>64</v>
      </c>
      <c r="AD78" s="0" t="s">
        <v>19</v>
      </c>
      <c r="AE78" s="0" t="s">
        <v>64</v>
      </c>
      <c r="AF78" s="0" t="s">
        <v>1119</v>
      </c>
      <c r="AG78" s="0" t="s">
        <v>4052</v>
      </c>
      <c r="AH78" s="0" t="s">
        <v>22</v>
      </c>
      <c r="AI78" s="0" t="s">
        <v>22</v>
      </c>
      <c r="AJ78" s="0" t="s">
        <v>1119</v>
      </c>
      <c r="AK78" s="0" t="s">
        <v>4052</v>
      </c>
    </row>
    <row customHeight="1" ht="11.25">
      <c r="A79" s="0" t="s">
        <v>22</v>
      </c>
      <c r="B79" s="0" t="s">
        <v>48</v>
      </c>
      <c r="C79" s="0" t="s">
        <v>50</v>
      </c>
      <c r="D79" s="0" t="s">
        <v>22</v>
      </c>
      <c r="E79" s="0" t="s">
        <v>4050</v>
      </c>
      <c r="F79" s="0" t="s">
        <v>1305</v>
      </c>
      <c r="G79" s="0" t="s">
        <v>139</v>
      </c>
      <c r="H79" s="0" t="s">
        <v>3675</v>
      </c>
      <c r="I79" s="0" t="s">
        <v>3676</v>
      </c>
      <c r="J79" s="0" t="s">
        <v>4033</v>
      </c>
      <c r="K79" s="0" t="s">
        <v>4037</v>
      </c>
      <c r="L79" s="0" t="s">
        <v>4039</v>
      </c>
      <c r="M79" s="0" t="s">
        <v>4051</v>
      </c>
      <c r="N79" s="0" t="s">
        <v>105</v>
      </c>
      <c r="O79" s="0" t="s">
        <v>139</v>
      </c>
      <c r="P79" s="0" t="s">
        <v>3675</v>
      </c>
      <c r="Q79" s="0" t="s">
        <v>3676</v>
      </c>
      <c r="R79" s="0" t="s">
        <v>4033</v>
      </c>
      <c r="S79" s="0" t="s">
        <v>4037</v>
      </c>
      <c r="T79" s="0" t="s">
        <v>3819</v>
      </c>
      <c r="U79" s="0" t="s">
        <v>3820</v>
      </c>
      <c r="V79" s="0" t="s">
        <v>713</v>
      </c>
      <c r="W79" s="0" t="s">
        <v>3807</v>
      </c>
      <c r="X79" s="0" t="s">
        <v>3821</v>
      </c>
      <c r="Y79" s="0" t="s">
        <v>3820</v>
      </c>
      <c r="Z79" s="0" t="s">
        <v>3976</v>
      </c>
      <c r="AA79" s="0" t="s">
        <v>3977</v>
      </c>
      <c r="AB79" s="0" t="s">
        <v>3978</v>
      </c>
      <c r="AC79" s="0" t="s">
        <v>64</v>
      </c>
      <c r="AD79" s="0" t="s">
        <v>19</v>
      </c>
      <c r="AE79" s="0" t="s">
        <v>64</v>
      </c>
      <c r="AF79" s="0" t="s">
        <v>1119</v>
      </c>
      <c r="AG79" s="0" t="s">
        <v>4052</v>
      </c>
      <c r="AH79" s="0" t="s">
        <v>22</v>
      </c>
      <c r="AI79" s="0" t="s">
        <v>22</v>
      </c>
      <c r="AJ79" s="0" t="s">
        <v>1119</v>
      </c>
      <c r="AK79" s="0" t="s">
        <v>4052</v>
      </c>
    </row>
    <row customHeight="1" ht="11.25">
      <c r="A80" s="0" t="s">
        <v>22</v>
      </c>
      <c r="B80" s="0" t="s">
        <v>48</v>
      </c>
      <c r="C80" s="0" t="s">
        <v>50</v>
      </c>
      <c r="D80" s="0" t="s">
        <v>22</v>
      </c>
      <c r="E80" s="0" t="s">
        <v>4053</v>
      </c>
      <c r="F80" s="0" t="s">
        <v>3815</v>
      </c>
      <c r="G80" s="0" t="s">
        <v>99</v>
      </c>
      <c r="H80" s="0" t="s">
        <v>99</v>
      </c>
      <c r="I80" s="0" t="s">
        <v>100</v>
      </c>
      <c r="J80" s="0" t="s">
        <v>4054</v>
      </c>
      <c r="K80" s="0" t="s">
        <v>4055</v>
      </c>
      <c r="L80" s="0" t="s">
        <v>4056</v>
      </c>
      <c r="M80" s="0" t="s">
        <v>4057</v>
      </c>
      <c r="N80" s="0" t="s">
        <v>105</v>
      </c>
      <c r="O80" s="0" t="s">
        <v>99</v>
      </c>
      <c r="P80" s="0" t="s">
        <v>99</v>
      </c>
      <c r="Q80" s="0" t="s">
        <v>100</v>
      </c>
      <c r="R80" s="0" t="s">
        <v>4054</v>
      </c>
      <c r="S80" s="0" t="s">
        <v>4055</v>
      </c>
      <c r="T80" s="0" t="s">
        <v>3938</v>
      </c>
      <c r="U80" s="0" t="s">
        <v>3939</v>
      </c>
      <c r="V80" s="0" t="s">
        <v>3940</v>
      </c>
      <c r="W80" s="0" t="s">
        <v>3807</v>
      </c>
      <c r="X80" s="0" t="s">
        <v>3821</v>
      </c>
      <c r="Y80" s="0" t="s">
        <v>3820</v>
      </c>
      <c r="Z80" s="0" t="s">
        <v>3846</v>
      </c>
      <c r="AA80" s="0" t="s">
        <v>3875</v>
      </c>
      <c r="AB80" s="0" t="s">
        <v>3940</v>
      </c>
      <c r="AC80" s="0" t="s">
        <v>64</v>
      </c>
      <c r="AD80" s="0" t="s">
        <v>19</v>
      </c>
      <c r="AE80" s="0" t="s">
        <v>19</v>
      </c>
      <c r="AF80" s="0" t="s">
        <v>3715</v>
      </c>
      <c r="AG80" s="0" t="s">
        <v>4058</v>
      </c>
      <c r="AH80" s="0" t="s">
        <v>22</v>
      </c>
      <c r="AI80" s="0" t="s">
        <v>22</v>
      </c>
      <c r="AJ80" s="0" t="s">
        <v>22</v>
      </c>
      <c r="AK80" s="0" t="s">
        <v>22</v>
      </c>
    </row>
    <row customHeight="1" ht="11.25">
      <c r="A81" s="0" t="s">
        <v>22</v>
      </c>
      <c r="B81" s="0" t="s">
        <v>48</v>
      </c>
      <c r="C81" s="0" t="s">
        <v>50</v>
      </c>
      <c r="D81" s="0" t="s">
        <v>22</v>
      </c>
      <c r="E81" s="0" t="s">
        <v>4053</v>
      </c>
      <c r="F81" s="0" t="s">
        <v>3907</v>
      </c>
      <c r="G81" s="0" t="s">
        <v>99</v>
      </c>
      <c r="H81" s="0" t="s">
        <v>99</v>
      </c>
      <c r="I81" s="0" t="s">
        <v>100</v>
      </c>
      <c r="J81" s="0" t="s">
        <v>4054</v>
      </c>
      <c r="K81" s="0" t="s">
        <v>4055</v>
      </c>
      <c r="L81" s="0" t="s">
        <v>4056</v>
      </c>
      <c r="M81" s="0" t="s">
        <v>4057</v>
      </c>
      <c r="N81" s="0" t="s">
        <v>105</v>
      </c>
      <c r="O81" s="0" t="s">
        <v>99</v>
      </c>
      <c r="P81" s="0" t="s">
        <v>99</v>
      </c>
      <c r="Q81" s="0" t="s">
        <v>100</v>
      </c>
      <c r="R81" s="0" t="s">
        <v>4054</v>
      </c>
      <c r="S81" s="0" t="s">
        <v>4055</v>
      </c>
      <c r="T81" s="0" t="s">
        <v>3938</v>
      </c>
      <c r="U81" s="0" t="s">
        <v>3939</v>
      </c>
      <c r="V81" s="0" t="s">
        <v>3940</v>
      </c>
      <c r="W81" s="0" t="s">
        <v>3807</v>
      </c>
      <c r="X81" s="0" t="s">
        <v>3821</v>
      </c>
      <c r="Y81" s="0" t="s">
        <v>3820</v>
      </c>
      <c r="Z81" s="0" t="s">
        <v>3846</v>
      </c>
      <c r="AA81" s="0" t="s">
        <v>3875</v>
      </c>
      <c r="AB81" s="0" t="s">
        <v>3940</v>
      </c>
      <c r="AC81" s="0" t="s">
        <v>64</v>
      </c>
      <c r="AD81" s="0" t="s">
        <v>64</v>
      </c>
      <c r="AE81" s="0" t="s">
        <v>64</v>
      </c>
      <c r="AF81" s="0" t="s">
        <v>3715</v>
      </c>
      <c r="AG81" s="0" t="s">
        <v>4058</v>
      </c>
      <c r="AH81" s="0" t="s">
        <v>4059</v>
      </c>
      <c r="AI81" s="0" t="s">
        <v>514</v>
      </c>
      <c r="AJ81" s="0" t="s">
        <v>3715</v>
      </c>
      <c r="AK81" s="0" t="s">
        <v>4060</v>
      </c>
    </row>
    <row customHeight="1" ht="11.25">
      <c r="A82" s="0" t="s">
        <v>22</v>
      </c>
      <c r="B82" s="0" t="s">
        <v>48</v>
      </c>
      <c r="C82" s="0" t="s">
        <v>50</v>
      </c>
      <c r="D82" s="0" t="s">
        <v>22</v>
      </c>
      <c r="E82" s="0" t="s">
        <v>4061</v>
      </c>
      <c r="F82" s="0" t="s">
        <v>3815</v>
      </c>
      <c r="G82" s="0" t="s">
        <v>99</v>
      </c>
      <c r="H82" s="0" t="s">
        <v>99</v>
      </c>
      <c r="I82" s="0" t="s">
        <v>100</v>
      </c>
      <c r="J82" s="0" t="s">
        <v>4062</v>
      </c>
      <c r="K82" s="0" t="s">
        <v>4063</v>
      </c>
      <c r="L82" s="0" t="s">
        <v>954</v>
      </c>
      <c r="M82" s="0" t="s">
        <v>954</v>
      </c>
      <c r="N82" s="0" t="s">
        <v>105</v>
      </c>
      <c r="O82" s="0" t="s">
        <v>99</v>
      </c>
      <c r="P82" s="0" t="s">
        <v>99</v>
      </c>
      <c r="Q82" s="0" t="s">
        <v>100</v>
      </c>
      <c r="R82" s="0" t="s">
        <v>4062</v>
      </c>
      <c r="S82" s="0" t="s">
        <v>4063</v>
      </c>
      <c r="T82" s="0" t="s">
        <v>3938</v>
      </c>
      <c r="U82" s="0" t="s">
        <v>3939</v>
      </c>
      <c r="V82" s="0" t="s">
        <v>4064</v>
      </c>
      <c r="W82" s="0" t="s">
        <v>3807</v>
      </c>
      <c r="X82" s="0" t="s">
        <v>3821</v>
      </c>
      <c r="Y82" s="0" t="s">
        <v>3820</v>
      </c>
      <c r="Z82" s="0" t="s">
        <v>3999</v>
      </c>
      <c r="AA82" s="0" t="s">
        <v>3875</v>
      </c>
      <c r="AB82" s="0" t="s">
        <v>4064</v>
      </c>
      <c r="AC82" s="0" t="s">
        <v>64</v>
      </c>
      <c r="AD82" s="0" t="s">
        <v>19</v>
      </c>
      <c r="AE82" s="0" t="s">
        <v>19</v>
      </c>
      <c r="AF82" s="0" t="s">
        <v>1869</v>
      </c>
      <c r="AG82" s="0" t="s">
        <v>4065</v>
      </c>
      <c r="AH82" s="0" t="s">
        <v>22</v>
      </c>
      <c r="AI82" s="0" t="s">
        <v>22</v>
      </c>
      <c r="AJ82" s="0" t="s">
        <v>22</v>
      </c>
      <c r="AK82" s="0" t="s">
        <v>22</v>
      </c>
    </row>
    <row customHeight="1" ht="11.25">
      <c r="A83" s="0" t="s">
        <v>22</v>
      </c>
      <c r="B83" s="0" t="s">
        <v>48</v>
      </c>
      <c r="C83" s="0" t="s">
        <v>50</v>
      </c>
      <c r="D83" s="0" t="s">
        <v>22</v>
      </c>
      <c r="E83" s="0" t="s">
        <v>4061</v>
      </c>
      <c r="F83" s="0" t="s">
        <v>3815</v>
      </c>
      <c r="G83" s="0" t="s">
        <v>99</v>
      </c>
      <c r="H83" s="0" t="s">
        <v>99</v>
      </c>
      <c r="I83" s="0" t="s">
        <v>100</v>
      </c>
      <c r="J83" s="0" t="s">
        <v>4062</v>
      </c>
      <c r="K83" s="0" t="s">
        <v>4063</v>
      </c>
      <c r="L83" s="0" t="s">
        <v>4066</v>
      </c>
      <c r="M83" s="0" t="s">
        <v>954</v>
      </c>
      <c r="N83" s="0" t="s">
        <v>105</v>
      </c>
      <c r="O83" s="0" t="s">
        <v>99</v>
      </c>
      <c r="P83" s="0" t="s">
        <v>99</v>
      </c>
      <c r="Q83" s="0" t="s">
        <v>100</v>
      </c>
      <c r="R83" s="0" t="s">
        <v>4062</v>
      </c>
      <c r="S83" s="0" t="s">
        <v>4063</v>
      </c>
      <c r="T83" s="0" t="s">
        <v>3938</v>
      </c>
      <c r="U83" s="0" t="s">
        <v>3939</v>
      </c>
      <c r="V83" s="0" t="s">
        <v>4064</v>
      </c>
      <c r="W83" s="0" t="s">
        <v>3807</v>
      </c>
      <c r="X83" s="0" t="s">
        <v>3821</v>
      </c>
      <c r="Y83" s="0" t="s">
        <v>3820</v>
      </c>
      <c r="Z83" s="0" t="s">
        <v>3999</v>
      </c>
      <c r="AA83" s="0" t="s">
        <v>3875</v>
      </c>
      <c r="AB83" s="0" t="s">
        <v>4064</v>
      </c>
      <c r="AC83" s="0" t="s">
        <v>64</v>
      </c>
      <c r="AD83" s="0" t="s">
        <v>19</v>
      </c>
      <c r="AE83" s="0" t="s">
        <v>19</v>
      </c>
      <c r="AF83" s="0" t="s">
        <v>1869</v>
      </c>
      <c r="AG83" s="0" t="s">
        <v>4065</v>
      </c>
      <c r="AH83" s="0" t="s">
        <v>22</v>
      </c>
      <c r="AI83" s="0" t="s">
        <v>22</v>
      </c>
      <c r="AJ83" s="0" t="s">
        <v>22</v>
      </c>
      <c r="AK83" s="0" t="s">
        <v>22</v>
      </c>
    </row>
    <row customHeight="1" ht="11.25">
      <c r="A84" s="0" t="s">
        <v>22</v>
      </c>
      <c r="B84" s="0" t="s">
        <v>48</v>
      </c>
      <c r="C84" s="0" t="s">
        <v>50</v>
      </c>
      <c r="D84" s="0" t="s">
        <v>22</v>
      </c>
      <c r="E84" s="0" t="s">
        <v>4067</v>
      </c>
      <c r="F84" s="0" t="s">
        <v>4023</v>
      </c>
      <c r="G84" s="0" t="s">
        <v>99</v>
      </c>
      <c r="H84" s="0" t="s">
        <v>99</v>
      </c>
      <c r="I84" s="0" t="s">
        <v>100</v>
      </c>
      <c r="J84" s="0" t="s">
        <v>4062</v>
      </c>
      <c r="K84" s="0" t="s">
        <v>4063</v>
      </c>
      <c r="L84" s="0" t="s">
        <v>4066</v>
      </c>
      <c r="M84" s="0" t="s">
        <v>954</v>
      </c>
      <c r="N84" s="0" t="s">
        <v>105</v>
      </c>
      <c r="O84" s="0" t="s">
        <v>99</v>
      </c>
      <c r="P84" s="0" t="s">
        <v>99</v>
      </c>
      <c r="Q84" s="0" t="s">
        <v>100</v>
      </c>
      <c r="R84" s="0" t="s">
        <v>4062</v>
      </c>
      <c r="S84" s="0" t="s">
        <v>4063</v>
      </c>
      <c r="T84" s="0" t="s">
        <v>3938</v>
      </c>
      <c r="U84" s="0" t="s">
        <v>3939</v>
      </c>
      <c r="V84" s="0" t="s">
        <v>4064</v>
      </c>
      <c r="W84" s="0" t="s">
        <v>3807</v>
      </c>
      <c r="X84" s="0" t="s">
        <v>3821</v>
      </c>
      <c r="Y84" s="0" t="s">
        <v>3820</v>
      </c>
      <c r="Z84" s="0" t="s">
        <v>3999</v>
      </c>
      <c r="AA84" s="0" t="s">
        <v>3875</v>
      </c>
      <c r="AB84" s="0" t="s">
        <v>4064</v>
      </c>
      <c r="AC84" s="0" t="s">
        <v>19</v>
      </c>
      <c r="AD84" s="0" t="s">
        <v>64</v>
      </c>
      <c r="AE84" s="0" t="s">
        <v>19</v>
      </c>
      <c r="AF84" s="0" t="s">
        <v>22</v>
      </c>
      <c r="AG84" s="0" t="s">
        <v>22</v>
      </c>
      <c r="AH84" s="0" t="s">
        <v>1869</v>
      </c>
      <c r="AI84" s="0" t="s">
        <v>4065</v>
      </c>
      <c r="AJ84" s="0" t="s">
        <v>22</v>
      </c>
      <c r="AK84" s="0" t="s">
        <v>22</v>
      </c>
    </row>
    <row customHeight="1" ht="11.25">
      <c r="A85" s="0" t="s">
        <v>22</v>
      </c>
      <c r="B85" s="0" t="s">
        <v>48</v>
      </c>
      <c r="C85" s="0" t="s">
        <v>50</v>
      </c>
      <c r="D85" s="0" t="s">
        <v>22</v>
      </c>
      <c r="E85" s="0" t="s">
        <v>4067</v>
      </c>
      <c r="F85" s="0" t="s">
        <v>4023</v>
      </c>
      <c r="G85" s="0" t="s">
        <v>99</v>
      </c>
      <c r="H85" s="0" t="s">
        <v>99</v>
      </c>
      <c r="I85" s="0" t="s">
        <v>100</v>
      </c>
      <c r="J85" s="0" t="s">
        <v>4062</v>
      </c>
      <c r="K85" s="0" t="s">
        <v>4063</v>
      </c>
      <c r="L85" s="0" t="s">
        <v>954</v>
      </c>
      <c r="M85" s="0" t="s">
        <v>954</v>
      </c>
      <c r="N85" s="0" t="s">
        <v>105</v>
      </c>
      <c r="O85" s="0" t="s">
        <v>99</v>
      </c>
      <c r="P85" s="0" t="s">
        <v>99</v>
      </c>
      <c r="Q85" s="0" t="s">
        <v>100</v>
      </c>
      <c r="R85" s="0" t="s">
        <v>4062</v>
      </c>
      <c r="S85" s="0" t="s">
        <v>4063</v>
      </c>
      <c r="T85" s="0" t="s">
        <v>3938</v>
      </c>
      <c r="U85" s="0" t="s">
        <v>3939</v>
      </c>
      <c r="V85" s="0" t="s">
        <v>4064</v>
      </c>
      <c r="W85" s="0" t="s">
        <v>3807</v>
      </c>
      <c r="X85" s="0" t="s">
        <v>3821</v>
      </c>
      <c r="Y85" s="0" t="s">
        <v>3820</v>
      </c>
      <c r="Z85" s="0" t="s">
        <v>3999</v>
      </c>
      <c r="AA85" s="0" t="s">
        <v>3875</v>
      </c>
      <c r="AB85" s="0" t="s">
        <v>4064</v>
      </c>
      <c r="AC85" s="0" t="s">
        <v>19</v>
      </c>
      <c r="AD85" s="0" t="s">
        <v>64</v>
      </c>
      <c r="AE85" s="0" t="s">
        <v>19</v>
      </c>
      <c r="AF85" s="0" t="s">
        <v>22</v>
      </c>
      <c r="AG85" s="0" t="s">
        <v>22</v>
      </c>
      <c r="AH85" s="0" t="s">
        <v>1869</v>
      </c>
      <c r="AI85" s="0" t="s">
        <v>4065</v>
      </c>
      <c r="AJ85" s="0" t="s">
        <v>22</v>
      </c>
      <c r="AK85" s="0" t="s">
        <v>22</v>
      </c>
    </row>
    <row customHeight="1" ht="11.25">
      <c r="A86" s="0" t="s">
        <v>22</v>
      </c>
      <c r="B86" s="0" t="s">
        <v>48</v>
      </c>
      <c r="C86" s="0" t="s">
        <v>50</v>
      </c>
      <c r="D86" s="0" t="s">
        <v>22</v>
      </c>
      <c r="E86" s="0" t="s">
        <v>4068</v>
      </c>
      <c r="F86" s="0" t="s">
        <v>1305</v>
      </c>
      <c r="G86" s="0" t="s">
        <v>127</v>
      </c>
      <c r="H86" s="0" t="s">
        <v>127</v>
      </c>
      <c r="I86" s="0" t="s">
        <v>128</v>
      </c>
      <c r="J86" s="0" t="s">
        <v>4069</v>
      </c>
      <c r="K86" s="0" t="s">
        <v>4070</v>
      </c>
      <c r="L86" s="0" t="s">
        <v>4071</v>
      </c>
      <c r="M86" s="0" t="s">
        <v>1930</v>
      </c>
      <c r="N86" s="0" t="s">
        <v>105</v>
      </c>
      <c r="O86" s="0" t="s">
        <v>127</v>
      </c>
      <c r="P86" s="0" t="s">
        <v>127</v>
      </c>
      <c r="Q86" s="0" t="s">
        <v>128</v>
      </c>
      <c r="R86" s="0" t="s">
        <v>4069</v>
      </c>
      <c r="S86" s="0" t="s">
        <v>4070</v>
      </c>
      <c r="T86" s="0" t="s">
        <v>3805</v>
      </c>
      <c r="U86" s="0" t="s">
        <v>3806</v>
      </c>
      <c r="V86" s="0" t="s">
        <v>713</v>
      </c>
      <c r="W86" s="0" t="s">
        <v>3807</v>
      </c>
      <c r="X86" s="0" t="s">
        <v>3854</v>
      </c>
      <c r="Y86" s="0" t="s">
        <v>3806</v>
      </c>
      <c r="Z86" s="0" t="s">
        <v>4072</v>
      </c>
      <c r="AA86" s="0" t="s">
        <v>3912</v>
      </c>
      <c r="AB86" s="0" t="s">
        <v>4073</v>
      </c>
      <c r="AC86" s="0" t="s">
        <v>64</v>
      </c>
      <c r="AD86" s="0" t="s">
        <v>19</v>
      </c>
      <c r="AE86" s="0" t="s">
        <v>64</v>
      </c>
      <c r="AF86" s="0" t="s">
        <v>1887</v>
      </c>
      <c r="AG86" s="0" t="s">
        <v>1887</v>
      </c>
      <c r="AH86" s="0" t="s">
        <v>22</v>
      </c>
      <c r="AI86" s="0" t="s">
        <v>22</v>
      </c>
      <c r="AJ86" s="0" t="s">
        <v>1887</v>
      </c>
      <c r="AK86" s="0" t="s">
        <v>1887</v>
      </c>
    </row>
    <row customHeight="1" ht="11.25">
      <c r="A87" s="0" t="s">
        <v>22</v>
      </c>
      <c r="B87" s="0" t="s">
        <v>48</v>
      </c>
      <c r="C87" s="0" t="s">
        <v>50</v>
      </c>
      <c r="D87" s="0" t="s">
        <v>22</v>
      </c>
      <c r="E87" s="0" t="s">
        <v>4068</v>
      </c>
      <c r="F87" s="0" t="s">
        <v>1305</v>
      </c>
      <c r="G87" s="0" t="s">
        <v>127</v>
      </c>
      <c r="H87" s="0" t="s">
        <v>127</v>
      </c>
      <c r="I87" s="0" t="s">
        <v>128</v>
      </c>
      <c r="J87" s="0" t="s">
        <v>4069</v>
      </c>
      <c r="K87" s="0" t="s">
        <v>4070</v>
      </c>
      <c r="L87" s="0" t="s">
        <v>4071</v>
      </c>
      <c r="M87" s="0" t="s">
        <v>1930</v>
      </c>
      <c r="N87" s="0" t="s">
        <v>105</v>
      </c>
      <c r="O87" s="0" t="s">
        <v>127</v>
      </c>
      <c r="P87" s="0" t="s">
        <v>127</v>
      </c>
      <c r="Q87" s="0" t="s">
        <v>128</v>
      </c>
      <c r="R87" s="0" t="s">
        <v>4069</v>
      </c>
      <c r="S87" s="0" t="s">
        <v>4070</v>
      </c>
      <c r="T87" s="0" t="s">
        <v>3805</v>
      </c>
      <c r="U87" s="0" t="s">
        <v>3806</v>
      </c>
      <c r="V87" s="0" t="s">
        <v>713</v>
      </c>
      <c r="W87" s="0" t="s">
        <v>3807</v>
      </c>
      <c r="X87" s="0" t="s">
        <v>3854</v>
      </c>
      <c r="Y87" s="0" t="s">
        <v>3806</v>
      </c>
      <c r="Z87" s="0" t="s">
        <v>4072</v>
      </c>
      <c r="AA87" s="0" t="s">
        <v>3912</v>
      </c>
      <c r="AB87" s="0" t="s">
        <v>4073</v>
      </c>
      <c r="AC87" s="0" t="s">
        <v>64</v>
      </c>
      <c r="AD87" s="0" t="s">
        <v>19</v>
      </c>
      <c r="AE87" s="0" t="s">
        <v>64</v>
      </c>
      <c r="AF87" s="0" t="s">
        <v>1887</v>
      </c>
      <c r="AG87" s="0" t="s">
        <v>1887</v>
      </c>
      <c r="AH87" s="0" t="s">
        <v>22</v>
      </c>
      <c r="AI87" s="0" t="s">
        <v>22</v>
      </c>
      <c r="AJ87" s="0" t="s">
        <v>1887</v>
      </c>
      <c r="AK87" s="0" t="s">
        <v>1887</v>
      </c>
    </row>
    <row customHeight="1" ht="11.25">
      <c r="A88" s="0" t="s">
        <v>22</v>
      </c>
      <c r="B88" s="0" t="s">
        <v>48</v>
      </c>
      <c r="C88" s="0" t="s">
        <v>50</v>
      </c>
      <c r="D88" s="0" t="s">
        <v>22</v>
      </c>
      <c r="E88" s="0" t="s">
        <v>4074</v>
      </c>
      <c r="F88" s="0" t="s">
        <v>3815</v>
      </c>
      <c r="G88" s="0" t="s">
        <v>163</v>
      </c>
      <c r="H88" s="0" t="s">
        <v>163</v>
      </c>
      <c r="I88" s="0" t="s">
        <v>164</v>
      </c>
      <c r="J88" s="0" t="s">
        <v>3989</v>
      </c>
      <c r="K88" s="0" t="s">
        <v>3990</v>
      </c>
      <c r="L88" s="0" t="s">
        <v>4024</v>
      </c>
      <c r="M88" s="0" t="s">
        <v>4075</v>
      </c>
      <c r="N88" s="0" t="s">
        <v>105</v>
      </c>
      <c r="O88" s="0" t="s">
        <v>163</v>
      </c>
      <c r="P88" s="0" t="s">
        <v>163</v>
      </c>
      <c r="Q88" s="0" t="s">
        <v>164</v>
      </c>
      <c r="R88" s="0" t="s">
        <v>3989</v>
      </c>
      <c r="S88" s="0" t="s">
        <v>3990</v>
      </c>
      <c r="T88" s="0" t="s">
        <v>4026</v>
      </c>
      <c r="U88" s="0" t="s">
        <v>3939</v>
      </c>
      <c r="V88" s="0" t="s">
        <v>4027</v>
      </c>
      <c r="W88" s="0" t="s">
        <v>3807</v>
      </c>
      <c r="X88" s="0" t="s">
        <v>3821</v>
      </c>
      <c r="Y88" s="0" t="s">
        <v>3820</v>
      </c>
      <c r="Z88" s="0" t="s">
        <v>4028</v>
      </c>
      <c r="AA88" s="0" t="s">
        <v>4029</v>
      </c>
      <c r="AB88" s="0" t="s">
        <v>4027</v>
      </c>
      <c r="AC88" s="0" t="s">
        <v>64</v>
      </c>
      <c r="AD88" s="0" t="s">
        <v>19</v>
      </c>
      <c r="AE88" s="0" t="s">
        <v>19</v>
      </c>
      <c r="AF88" s="0" t="s">
        <v>4030</v>
      </c>
      <c r="AG88" s="0" t="s">
        <v>3681</v>
      </c>
      <c r="AH88" s="0" t="s">
        <v>22</v>
      </c>
      <c r="AI88" s="0" t="s">
        <v>22</v>
      </c>
      <c r="AJ88" s="0" t="s">
        <v>22</v>
      </c>
      <c r="AK88" s="0" t="s">
        <v>22</v>
      </c>
    </row>
    <row customHeight="1" ht="11.25">
      <c r="A89" s="0" t="s">
        <v>22</v>
      </c>
      <c r="B89" s="0" t="s">
        <v>48</v>
      </c>
      <c r="C89" s="0" t="s">
        <v>50</v>
      </c>
      <c r="D89" s="0" t="s">
        <v>22</v>
      </c>
      <c r="E89" s="0" t="s">
        <v>4074</v>
      </c>
      <c r="F89" s="0" t="s">
        <v>3815</v>
      </c>
      <c r="G89" s="0" t="s">
        <v>163</v>
      </c>
      <c r="H89" s="0" t="s">
        <v>163</v>
      </c>
      <c r="I89" s="0" t="s">
        <v>164</v>
      </c>
      <c r="J89" s="0" t="s">
        <v>3989</v>
      </c>
      <c r="K89" s="0" t="s">
        <v>3990</v>
      </c>
      <c r="L89" s="0" t="s">
        <v>4024</v>
      </c>
      <c r="M89" s="0" t="s">
        <v>4075</v>
      </c>
      <c r="N89" s="0" t="s">
        <v>105</v>
      </c>
      <c r="O89" s="0" t="s">
        <v>163</v>
      </c>
      <c r="P89" s="0" t="s">
        <v>163</v>
      </c>
      <c r="Q89" s="0" t="s">
        <v>164</v>
      </c>
      <c r="R89" s="0" t="s">
        <v>3989</v>
      </c>
      <c r="S89" s="0" t="s">
        <v>3990</v>
      </c>
      <c r="T89" s="0" t="s">
        <v>4026</v>
      </c>
      <c r="U89" s="0" t="s">
        <v>3939</v>
      </c>
      <c r="V89" s="0" t="s">
        <v>4027</v>
      </c>
      <c r="W89" s="0" t="s">
        <v>3807</v>
      </c>
      <c r="X89" s="0" t="s">
        <v>3821</v>
      </c>
      <c r="Y89" s="0" t="s">
        <v>3820</v>
      </c>
      <c r="Z89" s="0" t="s">
        <v>4028</v>
      </c>
      <c r="AA89" s="0" t="s">
        <v>4029</v>
      </c>
      <c r="AB89" s="0" t="s">
        <v>4027</v>
      </c>
      <c r="AC89" s="0" t="s">
        <v>64</v>
      </c>
      <c r="AD89" s="0" t="s">
        <v>19</v>
      </c>
      <c r="AE89" s="0" t="s">
        <v>19</v>
      </c>
      <c r="AF89" s="0" t="s">
        <v>4030</v>
      </c>
      <c r="AG89" s="0" t="s">
        <v>3681</v>
      </c>
      <c r="AH89" s="0" t="s">
        <v>22</v>
      </c>
      <c r="AI89" s="0" t="s">
        <v>22</v>
      </c>
      <c r="AJ89" s="0" t="s">
        <v>22</v>
      </c>
      <c r="AK89" s="0" t="s">
        <v>22</v>
      </c>
    </row>
    <row customHeight="1" ht="11.25">
      <c r="A90" s="0" t="s">
        <v>22</v>
      </c>
      <c r="B90" s="0" t="s">
        <v>48</v>
      </c>
      <c r="C90" s="0" t="s">
        <v>50</v>
      </c>
      <c r="D90" s="0" t="s">
        <v>22</v>
      </c>
      <c r="E90" s="0" t="s">
        <v>4076</v>
      </c>
      <c r="F90" s="0" t="s">
        <v>1305</v>
      </c>
      <c r="G90" s="0" t="s">
        <v>150</v>
      </c>
      <c r="H90" s="0" t="s">
        <v>150</v>
      </c>
      <c r="I90" s="0" t="s">
        <v>151</v>
      </c>
      <c r="J90" s="0" t="s">
        <v>3897</v>
      </c>
      <c r="K90" s="0" t="s">
        <v>3898</v>
      </c>
      <c r="L90" s="0" t="s">
        <v>3818</v>
      </c>
      <c r="M90" s="0" t="s">
        <v>3818</v>
      </c>
      <c r="N90" s="0" t="s">
        <v>105</v>
      </c>
      <c r="O90" s="0" t="s">
        <v>150</v>
      </c>
      <c r="P90" s="0" t="s">
        <v>150</v>
      </c>
      <c r="Q90" s="0" t="s">
        <v>151</v>
      </c>
      <c r="R90" s="0" t="s">
        <v>3897</v>
      </c>
      <c r="S90" s="0" t="s">
        <v>3898</v>
      </c>
      <c r="T90" s="0" t="s">
        <v>3819</v>
      </c>
      <c r="U90" s="0" t="s">
        <v>3820</v>
      </c>
      <c r="V90" s="0" t="s">
        <v>713</v>
      </c>
      <c r="W90" s="0" t="s">
        <v>3807</v>
      </c>
      <c r="X90" s="0" t="s">
        <v>3821</v>
      </c>
      <c r="Y90" s="0" t="s">
        <v>3820</v>
      </c>
      <c r="Z90" s="0" t="s">
        <v>4077</v>
      </c>
      <c r="AA90" s="0" t="s">
        <v>3901</v>
      </c>
      <c r="AB90" s="0" t="s">
        <v>3902</v>
      </c>
      <c r="AC90" s="0" t="s">
        <v>64</v>
      </c>
      <c r="AD90" s="0" t="s">
        <v>19</v>
      </c>
      <c r="AE90" s="0" t="s">
        <v>64</v>
      </c>
      <c r="AF90" s="0" t="s">
        <v>167</v>
      </c>
      <c r="AG90" s="0" t="s">
        <v>514</v>
      </c>
      <c r="AH90" s="0" t="s">
        <v>22</v>
      </c>
      <c r="AI90" s="0" t="s">
        <v>22</v>
      </c>
      <c r="AJ90" s="0" t="s">
        <v>167</v>
      </c>
      <c r="AK90" s="0" t="s">
        <v>514</v>
      </c>
    </row>
    <row customHeight="1" ht="11.25">
      <c r="A91" s="0" t="s">
        <v>22</v>
      </c>
      <c r="B91" s="0" t="s">
        <v>48</v>
      </c>
      <c r="C91" s="0" t="s">
        <v>50</v>
      </c>
      <c r="D91" s="0" t="s">
        <v>22</v>
      </c>
      <c r="E91" s="0" t="s">
        <v>4076</v>
      </c>
      <c r="F91" s="0" t="s">
        <v>1305</v>
      </c>
      <c r="G91" s="0" t="s">
        <v>150</v>
      </c>
      <c r="H91" s="0" t="s">
        <v>150</v>
      </c>
      <c r="I91" s="0" t="s">
        <v>151</v>
      </c>
      <c r="J91" s="0" t="s">
        <v>3897</v>
      </c>
      <c r="K91" s="0" t="s">
        <v>3898</v>
      </c>
      <c r="L91" s="0" t="s">
        <v>3818</v>
      </c>
      <c r="M91" s="0" t="s">
        <v>3818</v>
      </c>
      <c r="N91" s="0" t="s">
        <v>105</v>
      </c>
      <c r="O91" s="0" t="s">
        <v>150</v>
      </c>
      <c r="P91" s="0" t="s">
        <v>150</v>
      </c>
      <c r="Q91" s="0" t="s">
        <v>151</v>
      </c>
      <c r="R91" s="0" t="s">
        <v>3897</v>
      </c>
      <c r="S91" s="0" t="s">
        <v>3898</v>
      </c>
      <c r="T91" s="0" t="s">
        <v>3819</v>
      </c>
      <c r="U91" s="0" t="s">
        <v>3820</v>
      </c>
      <c r="V91" s="0" t="s">
        <v>713</v>
      </c>
      <c r="W91" s="0" t="s">
        <v>3807</v>
      </c>
      <c r="X91" s="0" t="s">
        <v>3821</v>
      </c>
      <c r="Y91" s="0" t="s">
        <v>3820</v>
      </c>
      <c r="Z91" s="0" t="s">
        <v>4077</v>
      </c>
      <c r="AA91" s="0" t="s">
        <v>3901</v>
      </c>
      <c r="AB91" s="0" t="s">
        <v>3902</v>
      </c>
      <c r="AC91" s="0" t="s">
        <v>64</v>
      </c>
      <c r="AD91" s="0" t="s">
        <v>19</v>
      </c>
      <c r="AE91" s="0" t="s">
        <v>64</v>
      </c>
      <c r="AF91" s="0" t="s">
        <v>167</v>
      </c>
      <c r="AG91" s="0" t="s">
        <v>514</v>
      </c>
      <c r="AH91" s="0" t="s">
        <v>22</v>
      </c>
      <c r="AI91" s="0" t="s">
        <v>22</v>
      </c>
      <c r="AJ91" s="0" t="s">
        <v>167</v>
      </c>
      <c r="AK91" s="0" t="s">
        <v>514</v>
      </c>
    </row>
    <row customHeight="1" ht="11.25">
      <c r="A92" s="0" t="s">
        <v>22</v>
      </c>
      <c r="B92" s="0" t="s">
        <v>48</v>
      </c>
      <c r="C92" s="0" t="s">
        <v>50</v>
      </c>
      <c r="D92" s="0" t="s">
        <v>22</v>
      </c>
      <c r="E92" s="0" t="s">
        <v>4078</v>
      </c>
      <c r="F92" s="0" t="s">
        <v>3815</v>
      </c>
      <c r="G92" s="0" t="s">
        <v>150</v>
      </c>
      <c r="H92" s="0" t="s">
        <v>150</v>
      </c>
      <c r="I92" s="0" t="s">
        <v>151</v>
      </c>
      <c r="J92" s="0" t="s">
        <v>3897</v>
      </c>
      <c r="K92" s="0" t="s">
        <v>3898</v>
      </c>
      <c r="L92" s="0" t="s">
        <v>3818</v>
      </c>
      <c r="M92" s="0" t="s">
        <v>3818</v>
      </c>
      <c r="N92" s="0" t="s">
        <v>105</v>
      </c>
      <c r="O92" s="0" t="s">
        <v>150</v>
      </c>
      <c r="P92" s="0" t="s">
        <v>150</v>
      </c>
      <c r="Q92" s="0" t="s">
        <v>151</v>
      </c>
      <c r="R92" s="0" t="s">
        <v>3897</v>
      </c>
      <c r="S92" s="0" t="s">
        <v>3898</v>
      </c>
      <c r="T92" s="0" t="s">
        <v>3819</v>
      </c>
      <c r="U92" s="0" t="s">
        <v>3820</v>
      </c>
      <c r="V92" s="0" t="s">
        <v>713</v>
      </c>
      <c r="W92" s="0" t="s">
        <v>3807</v>
      </c>
      <c r="X92" s="0" t="s">
        <v>3821</v>
      </c>
      <c r="Y92" s="0" t="s">
        <v>3820</v>
      </c>
      <c r="Z92" s="0" t="s">
        <v>4077</v>
      </c>
      <c r="AA92" s="0" t="s">
        <v>3901</v>
      </c>
      <c r="AB92" s="0" t="s">
        <v>4079</v>
      </c>
      <c r="AC92" s="0" t="s">
        <v>64</v>
      </c>
      <c r="AD92" s="0" t="s">
        <v>19</v>
      </c>
      <c r="AE92" s="0" t="s">
        <v>19</v>
      </c>
      <c r="AF92" s="0" t="s">
        <v>167</v>
      </c>
      <c r="AG92" s="0" t="s">
        <v>514</v>
      </c>
      <c r="AH92" s="0" t="s">
        <v>22</v>
      </c>
      <c r="AI92" s="0" t="s">
        <v>22</v>
      </c>
      <c r="AJ92" s="0" t="s">
        <v>22</v>
      </c>
      <c r="AK92" s="0" t="s">
        <v>22</v>
      </c>
    </row>
    <row customHeight="1" ht="11.25">
      <c r="A93" s="0" t="s">
        <v>22</v>
      </c>
      <c r="B93" s="0" t="s">
        <v>48</v>
      </c>
      <c r="C93" s="0" t="s">
        <v>50</v>
      </c>
      <c r="D93" s="0" t="s">
        <v>22</v>
      </c>
      <c r="E93" s="0" t="s">
        <v>4078</v>
      </c>
      <c r="F93" s="0" t="s">
        <v>3815</v>
      </c>
      <c r="G93" s="0" t="s">
        <v>150</v>
      </c>
      <c r="H93" s="0" t="s">
        <v>150</v>
      </c>
      <c r="I93" s="0" t="s">
        <v>151</v>
      </c>
      <c r="J93" s="0" t="s">
        <v>3897</v>
      </c>
      <c r="K93" s="0" t="s">
        <v>3898</v>
      </c>
      <c r="L93" s="0" t="s">
        <v>3818</v>
      </c>
      <c r="M93" s="0" t="s">
        <v>3818</v>
      </c>
      <c r="N93" s="0" t="s">
        <v>105</v>
      </c>
      <c r="O93" s="0" t="s">
        <v>150</v>
      </c>
      <c r="P93" s="0" t="s">
        <v>150</v>
      </c>
      <c r="Q93" s="0" t="s">
        <v>151</v>
      </c>
      <c r="R93" s="0" t="s">
        <v>3897</v>
      </c>
      <c r="S93" s="0" t="s">
        <v>3898</v>
      </c>
      <c r="T93" s="0" t="s">
        <v>3819</v>
      </c>
      <c r="U93" s="0" t="s">
        <v>3820</v>
      </c>
      <c r="V93" s="0" t="s">
        <v>713</v>
      </c>
      <c r="W93" s="0" t="s">
        <v>3807</v>
      </c>
      <c r="X93" s="0" t="s">
        <v>3821</v>
      </c>
      <c r="Y93" s="0" t="s">
        <v>3820</v>
      </c>
      <c r="Z93" s="0" t="s">
        <v>4077</v>
      </c>
      <c r="AA93" s="0" t="s">
        <v>3901</v>
      </c>
      <c r="AB93" s="0" t="s">
        <v>4079</v>
      </c>
      <c r="AC93" s="0" t="s">
        <v>64</v>
      </c>
      <c r="AD93" s="0" t="s">
        <v>19</v>
      </c>
      <c r="AE93" s="0" t="s">
        <v>19</v>
      </c>
      <c r="AF93" s="0" t="s">
        <v>167</v>
      </c>
      <c r="AG93" s="0" t="s">
        <v>514</v>
      </c>
      <c r="AH93" s="0" t="s">
        <v>22</v>
      </c>
      <c r="AI93" s="0" t="s">
        <v>22</v>
      </c>
      <c r="AJ93" s="0" t="s">
        <v>22</v>
      </c>
      <c r="AK93" s="0" t="s">
        <v>22</v>
      </c>
    </row>
    <row customHeight="1" ht="11.25">
      <c r="A94" s="0" t="s">
        <v>22</v>
      </c>
      <c r="B94" s="0" t="s">
        <v>48</v>
      </c>
      <c r="C94" s="0" t="s">
        <v>50</v>
      </c>
      <c r="D94" s="0" t="s">
        <v>22</v>
      </c>
      <c r="E94" s="0" t="s">
        <v>4080</v>
      </c>
      <c r="F94" s="0" t="s">
        <v>1305</v>
      </c>
      <c r="G94" s="0" t="s">
        <v>99</v>
      </c>
      <c r="H94" s="0" t="s">
        <v>99</v>
      </c>
      <c r="I94" s="0" t="s">
        <v>100</v>
      </c>
      <c r="J94" s="0" t="s">
        <v>4081</v>
      </c>
      <c r="K94" s="0" t="s">
        <v>4082</v>
      </c>
      <c r="L94" s="0" t="s">
        <v>1331</v>
      </c>
      <c r="M94" s="0" t="s">
        <v>3688</v>
      </c>
      <c r="N94" s="0" t="s">
        <v>105</v>
      </c>
      <c r="O94" s="0" t="s">
        <v>99</v>
      </c>
      <c r="P94" s="0" t="s">
        <v>99</v>
      </c>
      <c r="Q94" s="0" t="s">
        <v>100</v>
      </c>
      <c r="R94" s="0" t="s">
        <v>4081</v>
      </c>
      <c r="S94" s="0" t="s">
        <v>4082</v>
      </c>
      <c r="T94" s="0" t="s">
        <v>3819</v>
      </c>
      <c r="U94" s="0" t="s">
        <v>3820</v>
      </c>
      <c r="V94" s="0" t="s">
        <v>713</v>
      </c>
      <c r="W94" s="0" t="s">
        <v>3807</v>
      </c>
      <c r="X94" s="0" t="s">
        <v>3821</v>
      </c>
      <c r="Y94" s="0" t="s">
        <v>3820</v>
      </c>
      <c r="Z94" s="0" t="s">
        <v>4083</v>
      </c>
      <c r="AA94" s="0" t="s">
        <v>3875</v>
      </c>
      <c r="AB94" s="0" t="s">
        <v>3840</v>
      </c>
      <c r="AC94" s="0" t="s">
        <v>64</v>
      </c>
      <c r="AD94" s="0" t="s">
        <v>19</v>
      </c>
      <c r="AE94" s="0" t="s">
        <v>64</v>
      </c>
      <c r="AF94" s="0" t="s">
        <v>2001</v>
      </c>
      <c r="AG94" s="0" t="s">
        <v>514</v>
      </c>
      <c r="AH94" s="0" t="s">
        <v>22</v>
      </c>
      <c r="AI94" s="0" t="s">
        <v>22</v>
      </c>
      <c r="AJ94" s="0" t="s">
        <v>2001</v>
      </c>
      <c r="AK94" s="0" t="s">
        <v>514</v>
      </c>
    </row>
    <row customHeight="1" ht="11.25">
      <c r="A95" s="0" t="s">
        <v>22</v>
      </c>
      <c r="B95" s="0" t="s">
        <v>48</v>
      </c>
      <c r="C95" s="0" t="s">
        <v>50</v>
      </c>
      <c r="D95" s="0" t="s">
        <v>22</v>
      </c>
      <c r="E95" s="0" t="s">
        <v>4080</v>
      </c>
      <c r="F95" s="0" t="s">
        <v>1305</v>
      </c>
      <c r="G95" s="0" t="s">
        <v>99</v>
      </c>
      <c r="H95" s="0" t="s">
        <v>99</v>
      </c>
      <c r="I95" s="0" t="s">
        <v>100</v>
      </c>
      <c r="J95" s="0" t="s">
        <v>4081</v>
      </c>
      <c r="K95" s="0" t="s">
        <v>4082</v>
      </c>
      <c r="L95" s="0" t="s">
        <v>1331</v>
      </c>
      <c r="M95" s="0" t="s">
        <v>3688</v>
      </c>
      <c r="N95" s="0" t="s">
        <v>105</v>
      </c>
      <c r="O95" s="0" t="s">
        <v>99</v>
      </c>
      <c r="P95" s="0" t="s">
        <v>99</v>
      </c>
      <c r="Q95" s="0" t="s">
        <v>100</v>
      </c>
      <c r="R95" s="0" t="s">
        <v>4081</v>
      </c>
      <c r="S95" s="0" t="s">
        <v>4082</v>
      </c>
      <c r="T95" s="0" t="s">
        <v>3819</v>
      </c>
      <c r="U95" s="0" t="s">
        <v>3820</v>
      </c>
      <c r="V95" s="0" t="s">
        <v>713</v>
      </c>
      <c r="W95" s="0" t="s">
        <v>3807</v>
      </c>
      <c r="X95" s="0" t="s">
        <v>3821</v>
      </c>
      <c r="Y95" s="0" t="s">
        <v>3820</v>
      </c>
      <c r="Z95" s="0" t="s">
        <v>4083</v>
      </c>
      <c r="AA95" s="0" t="s">
        <v>3875</v>
      </c>
      <c r="AB95" s="0" t="s">
        <v>3840</v>
      </c>
      <c r="AC95" s="0" t="s">
        <v>64</v>
      </c>
      <c r="AD95" s="0" t="s">
        <v>19</v>
      </c>
      <c r="AE95" s="0" t="s">
        <v>64</v>
      </c>
      <c r="AF95" s="0" t="s">
        <v>2001</v>
      </c>
      <c r="AG95" s="0" t="s">
        <v>514</v>
      </c>
      <c r="AH95" s="0" t="s">
        <v>22</v>
      </c>
      <c r="AI95" s="0" t="s">
        <v>22</v>
      </c>
      <c r="AJ95" s="0" t="s">
        <v>2001</v>
      </c>
      <c r="AK95" s="0" t="s">
        <v>514</v>
      </c>
    </row>
    <row customHeight="1" ht="11.25">
      <c r="A96" s="0" t="s">
        <v>22</v>
      </c>
      <c r="B96" s="0" t="s">
        <v>48</v>
      </c>
      <c r="C96" s="0" t="s">
        <v>50</v>
      </c>
      <c r="D96" s="0" t="s">
        <v>22</v>
      </c>
      <c r="E96" s="0" t="s">
        <v>4084</v>
      </c>
      <c r="F96" s="0" t="s">
        <v>3907</v>
      </c>
      <c r="G96" s="0" t="s">
        <v>150</v>
      </c>
      <c r="H96" s="0" t="s">
        <v>150</v>
      </c>
      <c r="I96" s="0" t="s">
        <v>151</v>
      </c>
      <c r="J96" s="0" t="s">
        <v>3897</v>
      </c>
      <c r="K96" s="0" t="s">
        <v>3898</v>
      </c>
      <c r="L96" s="0" t="s">
        <v>4085</v>
      </c>
      <c r="M96" s="0" t="s">
        <v>3818</v>
      </c>
      <c r="N96" s="0" t="s">
        <v>105</v>
      </c>
      <c r="O96" s="0" t="s">
        <v>150</v>
      </c>
      <c r="P96" s="0" t="s">
        <v>150</v>
      </c>
      <c r="Q96" s="0" t="s">
        <v>151</v>
      </c>
      <c r="R96" s="0" t="s">
        <v>3897</v>
      </c>
      <c r="S96" s="0" t="s">
        <v>3898</v>
      </c>
      <c r="T96" s="0" t="s">
        <v>3819</v>
      </c>
      <c r="U96" s="0" t="s">
        <v>3820</v>
      </c>
      <c r="V96" s="0" t="s">
        <v>713</v>
      </c>
      <c r="W96" s="0" t="s">
        <v>3807</v>
      </c>
      <c r="X96" s="0" t="s">
        <v>3821</v>
      </c>
      <c r="Y96" s="0" t="s">
        <v>3820</v>
      </c>
      <c r="Z96" s="0" t="s">
        <v>4077</v>
      </c>
      <c r="AA96" s="0" t="s">
        <v>3901</v>
      </c>
      <c r="AB96" s="0" t="s">
        <v>4079</v>
      </c>
      <c r="AC96" s="0" t="s">
        <v>64</v>
      </c>
      <c r="AD96" s="0" t="s">
        <v>64</v>
      </c>
      <c r="AE96" s="0" t="s">
        <v>64</v>
      </c>
      <c r="AF96" s="0" t="s">
        <v>4086</v>
      </c>
      <c r="AG96" s="0" t="s">
        <v>4087</v>
      </c>
      <c r="AH96" s="0" t="s">
        <v>4086</v>
      </c>
      <c r="AI96" s="0" t="s">
        <v>514</v>
      </c>
      <c r="AJ96" s="0" t="s">
        <v>4086</v>
      </c>
      <c r="AK96" s="0" t="s">
        <v>514</v>
      </c>
    </row>
    <row customHeight="1" ht="11.25">
      <c r="A97" s="0" t="s">
        <v>22</v>
      </c>
      <c r="B97" s="0" t="s">
        <v>48</v>
      </c>
      <c r="C97" s="0" t="s">
        <v>50</v>
      </c>
      <c r="D97" s="0" t="s">
        <v>22</v>
      </c>
      <c r="E97" s="0" t="s">
        <v>4084</v>
      </c>
      <c r="F97" s="0" t="s">
        <v>3907</v>
      </c>
      <c r="G97" s="0" t="s">
        <v>150</v>
      </c>
      <c r="H97" s="0" t="s">
        <v>150</v>
      </c>
      <c r="I97" s="0" t="s">
        <v>151</v>
      </c>
      <c r="J97" s="0" t="s">
        <v>3897</v>
      </c>
      <c r="K97" s="0" t="s">
        <v>3898</v>
      </c>
      <c r="L97" s="0" t="s">
        <v>4085</v>
      </c>
      <c r="M97" s="0" t="s">
        <v>3818</v>
      </c>
      <c r="N97" s="0" t="s">
        <v>105</v>
      </c>
      <c r="O97" s="0" t="s">
        <v>150</v>
      </c>
      <c r="P97" s="0" t="s">
        <v>150</v>
      </c>
      <c r="Q97" s="0" t="s">
        <v>151</v>
      </c>
      <c r="R97" s="0" t="s">
        <v>3897</v>
      </c>
      <c r="S97" s="0" t="s">
        <v>3898</v>
      </c>
      <c r="T97" s="0" t="s">
        <v>3819</v>
      </c>
      <c r="U97" s="0" t="s">
        <v>3820</v>
      </c>
      <c r="V97" s="0" t="s">
        <v>713</v>
      </c>
      <c r="W97" s="0" t="s">
        <v>3807</v>
      </c>
      <c r="X97" s="0" t="s">
        <v>3821</v>
      </c>
      <c r="Y97" s="0" t="s">
        <v>3820</v>
      </c>
      <c r="Z97" s="0" t="s">
        <v>4077</v>
      </c>
      <c r="AA97" s="0" t="s">
        <v>3901</v>
      </c>
      <c r="AB97" s="0" t="s">
        <v>4079</v>
      </c>
      <c r="AC97" s="0" t="s">
        <v>64</v>
      </c>
      <c r="AD97" s="0" t="s">
        <v>64</v>
      </c>
      <c r="AE97" s="0" t="s">
        <v>64</v>
      </c>
      <c r="AF97" s="0" t="s">
        <v>4086</v>
      </c>
      <c r="AG97" s="0" t="s">
        <v>4087</v>
      </c>
      <c r="AH97" s="0" t="s">
        <v>4086</v>
      </c>
      <c r="AI97" s="0" t="s">
        <v>514</v>
      </c>
      <c r="AJ97" s="0" t="s">
        <v>4086</v>
      </c>
      <c r="AK97" s="0" t="s">
        <v>514</v>
      </c>
    </row>
    <row customHeight="1" ht="11.25">
      <c r="A98" s="0" t="s">
        <v>22</v>
      </c>
      <c r="B98" s="0" t="s">
        <v>48</v>
      </c>
      <c r="C98" s="0" t="s">
        <v>50</v>
      </c>
      <c r="D98" s="0" t="s">
        <v>22</v>
      </c>
      <c r="E98" s="0" t="s">
        <v>4088</v>
      </c>
      <c r="F98" s="0" t="s">
        <v>1305</v>
      </c>
      <c r="G98" s="0" t="s">
        <v>131</v>
      </c>
      <c r="H98" s="0" t="s">
        <v>131</v>
      </c>
      <c r="I98" s="0" t="s">
        <v>132</v>
      </c>
      <c r="J98" s="0" t="s">
        <v>4089</v>
      </c>
      <c r="K98" s="0" t="s">
        <v>4090</v>
      </c>
      <c r="L98" s="0" t="s">
        <v>4091</v>
      </c>
      <c r="M98" s="0" t="s">
        <v>4092</v>
      </c>
      <c r="N98" s="0" t="s">
        <v>105</v>
      </c>
      <c r="O98" s="0" t="s">
        <v>131</v>
      </c>
      <c r="P98" s="0" t="s">
        <v>131</v>
      </c>
      <c r="Q98" s="0" t="s">
        <v>132</v>
      </c>
      <c r="R98" s="0" t="s">
        <v>4089</v>
      </c>
      <c r="S98" s="0" t="s">
        <v>4090</v>
      </c>
      <c r="T98" s="0" t="s">
        <v>3819</v>
      </c>
      <c r="U98" s="0" t="s">
        <v>3820</v>
      </c>
      <c r="V98" s="0" t="s">
        <v>713</v>
      </c>
      <c r="W98" s="0" t="s">
        <v>3807</v>
      </c>
      <c r="X98" s="0" t="s">
        <v>3821</v>
      </c>
      <c r="Y98" s="0" t="s">
        <v>3820</v>
      </c>
      <c r="Z98" s="0" t="s">
        <v>3838</v>
      </c>
      <c r="AA98" s="0" t="s">
        <v>3839</v>
      </c>
      <c r="AB98" s="0" t="s">
        <v>3840</v>
      </c>
      <c r="AC98" s="0" t="s">
        <v>64</v>
      </c>
      <c r="AD98" s="0" t="s">
        <v>19</v>
      </c>
      <c r="AE98" s="0" t="s">
        <v>64</v>
      </c>
      <c r="AF98" s="0" t="s">
        <v>3858</v>
      </c>
      <c r="AG98" s="0" t="s">
        <v>4093</v>
      </c>
      <c r="AH98" s="0" t="s">
        <v>22</v>
      </c>
      <c r="AI98" s="0" t="s">
        <v>22</v>
      </c>
      <c r="AJ98" s="0" t="s">
        <v>3858</v>
      </c>
      <c r="AK98" s="0" t="s">
        <v>4094</v>
      </c>
    </row>
    <row customHeight="1" ht="11.25">
      <c r="A99" s="0" t="s">
        <v>22</v>
      </c>
      <c r="B99" s="0" t="s">
        <v>48</v>
      </c>
      <c r="C99" s="0" t="s">
        <v>50</v>
      </c>
      <c r="D99" s="0" t="s">
        <v>22</v>
      </c>
      <c r="E99" s="0" t="s">
        <v>4088</v>
      </c>
      <c r="F99" s="0" t="s">
        <v>1305</v>
      </c>
      <c r="G99" s="0" t="s">
        <v>131</v>
      </c>
      <c r="H99" s="0" t="s">
        <v>131</v>
      </c>
      <c r="I99" s="0" t="s">
        <v>132</v>
      </c>
      <c r="J99" s="0" t="s">
        <v>4089</v>
      </c>
      <c r="K99" s="0" t="s">
        <v>4090</v>
      </c>
      <c r="L99" s="0" t="s">
        <v>4091</v>
      </c>
      <c r="M99" s="0" t="s">
        <v>4092</v>
      </c>
      <c r="N99" s="0" t="s">
        <v>105</v>
      </c>
      <c r="O99" s="0" t="s">
        <v>131</v>
      </c>
      <c r="P99" s="0" t="s">
        <v>131</v>
      </c>
      <c r="Q99" s="0" t="s">
        <v>132</v>
      </c>
      <c r="R99" s="0" t="s">
        <v>4089</v>
      </c>
      <c r="S99" s="0" t="s">
        <v>4090</v>
      </c>
      <c r="T99" s="0" t="s">
        <v>3819</v>
      </c>
      <c r="U99" s="0" t="s">
        <v>3820</v>
      </c>
      <c r="V99" s="0" t="s">
        <v>713</v>
      </c>
      <c r="W99" s="0" t="s">
        <v>3807</v>
      </c>
      <c r="X99" s="0" t="s">
        <v>3821</v>
      </c>
      <c r="Y99" s="0" t="s">
        <v>3820</v>
      </c>
      <c r="Z99" s="0" t="s">
        <v>3838</v>
      </c>
      <c r="AA99" s="0" t="s">
        <v>3839</v>
      </c>
      <c r="AB99" s="0" t="s">
        <v>3840</v>
      </c>
      <c r="AC99" s="0" t="s">
        <v>64</v>
      </c>
      <c r="AD99" s="0" t="s">
        <v>19</v>
      </c>
      <c r="AE99" s="0" t="s">
        <v>64</v>
      </c>
      <c r="AF99" s="0" t="s">
        <v>3858</v>
      </c>
      <c r="AG99" s="0" t="s">
        <v>4093</v>
      </c>
      <c r="AH99" s="0" t="s">
        <v>22</v>
      </c>
      <c r="AI99" s="0" t="s">
        <v>22</v>
      </c>
      <c r="AJ99" s="0" t="s">
        <v>3858</v>
      </c>
      <c r="AK99" s="0" t="s">
        <v>4094</v>
      </c>
    </row>
    <row customHeight="1" ht="11.25">
      <c r="A100" s="0" t="s">
        <v>22</v>
      </c>
      <c r="B100" s="0" t="s">
        <v>48</v>
      </c>
      <c r="C100" s="0" t="s">
        <v>50</v>
      </c>
      <c r="D100" s="0" t="s">
        <v>22</v>
      </c>
      <c r="E100" s="0" t="s">
        <v>4095</v>
      </c>
      <c r="F100" s="0" t="s">
        <v>3815</v>
      </c>
      <c r="G100" s="0" t="s">
        <v>131</v>
      </c>
      <c r="H100" s="0" t="s">
        <v>131</v>
      </c>
      <c r="I100" s="0" t="s">
        <v>132</v>
      </c>
      <c r="J100" s="0" t="s">
        <v>4096</v>
      </c>
      <c r="K100" s="0" t="s">
        <v>4097</v>
      </c>
      <c r="L100" s="0" t="s">
        <v>3818</v>
      </c>
      <c r="M100" s="0" t="s">
        <v>3818</v>
      </c>
      <c r="N100" s="0" t="s">
        <v>105</v>
      </c>
      <c r="O100" s="0" t="s">
        <v>131</v>
      </c>
      <c r="P100" s="0" t="s">
        <v>131</v>
      </c>
      <c r="Q100" s="0" t="s">
        <v>132</v>
      </c>
      <c r="R100" s="0" t="s">
        <v>4096</v>
      </c>
      <c r="S100" s="0" t="s">
        <v>4097</v>
      </c>
      <c r="T100" s="0" t="s">
        <v>3819</v>
      </c>
      <c r="U100" s="0" t="s">
        <v>3820</v>
      </c>
      <c r="V100" s="0" t="s">
        <v>713</v>
      </c>
      <c r="W100" s="0" t="s">
        <v>3807</v>
      </c>
      <c r="X100" s="0" t="s">
        <v>3821</v>
      </c>
      <c r="Y100" s="0" t="s">
        <v>3820</v>
      </c>
      <c r="Z100" s="0" t="s">
        <v>3838</v>
      </c>
      <c r="AA100" s="0" t="s">
        <v>3839</v>
      </c>
      <c r="AB100" s="0" t="s">
        <v>3840</v>
      </c>
      <c r="AC100" s="0" t="s">
        <v>64</v>
      </c>
      <c r="AD100" s="0" t="s">
        <v>19</v>
      </c>
      <c r="AE100" s="0" t="s">
        <v>19</v>
      </c>
      <c r="AF100" s="0" t="s">
        <v>4098</v>
      </c>
      <c r="AG100" s="0" t="s">
        <v>4099</v>
      </c>
      <c r="AH100" s="0" t="s">
        <v>22</v>
      </c>
      <c r="AI100" s="0" t="s">
        <v>22</v>
      </c>
      <c r="AJ100" s="0" t="s">
        <v>22</v>
      </c>
      <c r="AK100" s="0" t="s">
        <v>22</v>
      </c>
    </row>
    <row customHeight="1" ht="11.25">
      <c r="A101" s="0" t="s">
        <v>22</v>
      </c>
      <c r="B101" s="0" t="s">
        <v>48</v>
      </c>
      <c r="C101" s="0" t="s">
        <v>50</v>
      </c>
      <c r="D101" s="0" t="s">
        <v>22</v>
      </c>
      <c r="E101" s="0" t="s">
        <v>4095</v>
      </c>
      <c r="F101" s="0" t="s">
        <v>3815</v>
      </c>
      <c r="G101" s="0" t="s">
        <v>131</v>
      </c>
      <c r="H101" s="0" t="s">
        <v>131</v>
      </c>
      <c r="I101" s="0" t="s">
        <v>132</v>
      </c>
      <c r="J101" s="0" t="s">
        <v>4096</v>
      </c>
      <c r="K101" s="0" t="s">
        <v>4097</v>
      </c>
      <c r="L101" s="0" t="s">
        <v>3818</v>
      </c>
      <c r="M101" s="0" t="s">
        <v>3818</v>
      </c>
      <c r="N101" s="0" t="s">
        <v>105</v>
      </c>
      <c r="O101" s="0" t="s">
        <v>131</v>
      </c>
      <c r="P101" s="0" t="s">
        <v>131</v>
      </c>
      <c r="Q101" s="0" t="s">
        <v>132</v>
      </c>
      <c r="R101" s="0" t="s">
        <v>4096</v>
      </c>
      <c r="S101" s="0" t="s">
        <v>4097</v>
      </c>
      <c r="T101" s="0" t="s">
        <v>3819</v>
      </c>
      <c r="U101" s="0" t="s">
        <v>3820</v>
      </c>
      <c r="V101" s="0" t="s">
        <v>713</v>
      </c>
      <c r="W101" s="0" t="s">
        <v>3807</v>
      </c>
      <c r="X101" s="0" t="s">
        <v>3821</v>
      </c>
      <c r="Y101" s="0" t="s">
        <v>3820</v>
      </c>
      <c r="Z101" s="0" t="s">
        <v>3838</v>
      </c>
      <c r="AA101" s="0" t="s">
        <v>3839</v>
      </c>
      <c r="AB101" s="0" t="s">
        <v>3840</v>
      </c>
      <c r="AC101" s="0" t="s">
        <v>64</v>
      </c>
      <c r="AD101" s="0" t="s">
        <v>19</v>
      </c>
      <c r="AE101" s="0" t="s">
        <v>19</v>
      </c>
      <c r="AF101" s="0" t="s">
        <v>4098</v>
      </c>
      <c r="AG101" s="0" t="s">
        <v>4099</v>
      </c>
      <c r="AH101" s="0" t="s">
        <v>22</v>
      </c>
      <c r="AI101" s="0" t="s">
        <v>22</v>
      </c>
      <c r="AJ101" s="0" t="s">
        <v>22</v>
      </c>
      <c r="AK101" s="0" t="s">
        <v>22</v>
      </c>
    </row>
    <row customHeight="1" ht="11.25">
      <c r="A102" s="0" t="s">
        <v>22</v>
      </c>
      <c r="B102" s="0" t="s">
        <v>48</v>
      </c>
      <c r="C102" s="0" t="s">
        <v>50</v>
      </c>
      <c r="D102" s="0" t="s">
        <v>22</v>
      </c>
      <c r="E102" s="0" t="s">
        <v>4100</v>
      </c>
      <c r="F102" s="0" t="s">
        <v>3815</v>
      </c>
      <c r="G102" s="0" t="s">
        <v>131</v>
      </c>
      <c r="H102" s="0" t="s">
        <v>131</v>
      </c>
      <c r="I102" s="0" t="s">
        <v>132</v>
      </c>
      <c r="J102" s="0" t="s">
        <v>3836</v>
      </c>
      <c r="K102" s="0" t="s">
        <v>3837</v>
      </c>
      <c r="L102" s="0" t="s">
        <v>3818</v>
      </c>
      <c r="M102" s="0" t="s">
        <v>3818</v>
      </c>
      <c r="N102" s="0" t="s">
        <v>105</v>
      </c>
      <c r="O102" s="0" t="s">
        <v>131</v>
      </c>
      <c r="P102" s="0" t="s">
        <v>131</v>
      </c>
      <c r="Q102" s="0" t="s">
        <v>132</v>
      </c>
      <c r="R102" s="0" t="s">
        <v>3836</v>
      </c>
      <c r="S102" s="0" t="s">
        <v>3837</v>
      </c>
      <c r="T102" s="0" t="s">
        <v>3819</v>
      </c>
      <c r="U102" s="0" t="s">
        <v>3820</v>
      </c>
      <c r="V102" s="0" t="s">
        <v>713</v>
      </c>
      <c r="W102" s="0" t="s">
        <v>3807</v>
      </c>
      <c r="X102" s="0" t="s">
        <v>3821</v>
      </c>
      <c r="Y102" s="0" t="s">
        <v>3820</v>
      </c>
      <c r="Z102" s="0" t="s">
        <v>3838</v>
      </c>
      <c r="AA102" s="0" t="s">
        <v>3839</v>
      </c>
      <c r="AB102" s="0" t="s">
        <v>3840</v>
      </c>
      <c r="AC102" s="0" t="s">
        <v>64</v>
      </c>
      <c r="AD102" s="0" t="s">
        <v>19</v>
      </c>
      <c r="AE102" s="0" t="s">
        <v>19</v>
      </c>
      <c r="AF102" s="0" t="s">
        <v>1944</v>
      </c>
      <c r="AG102" s="0" t="s">
        <v>1944</v>
      </c>
      <c r="AH102" s="0" t="s">
        <v>22</v>
      </c>
      <c r="AI102" s="0" t="s">
        <v>22</v>
      </c>
      <c r="AJ102" s="0" t="s">
        <v>22</v>
      </c>
      <c r="AK102" s="0" t="s">
        <v>22</v>
      </c>
    </row>
    <row customHeight="1" ht="11.25">
      <c r="A103" s="0" t="s">
        <v>22</v>
      </c>
      <c r="B103" s="0" t="s">
        <v>48</v>
      </c>
      <c r="C103" s="0" t="s">
        <v>50</v>
      </c>
      <c r="D103" s="0" t="s">
        <v>22</v>
      </c>
      <c r="E103" s="0" t="s">
        <v>4100</v>
      </c>
      <c r="F103" s="0" t="s">
        <v>3815</v>
      </c>
      <c r="G103" s="0" t="s">
        <v>131</v>
      </c>
      <c r="H103" s="0" t="s">
        <v>131</v>
      </c>
      <c r="I103" s="0" t="s">
        <v>132</v>
      </c>
      <c r="J103" s="0" t="s">
        <v>3836</v>
      </c>
      <c r="K103" s="0" t="s">
        <v>3837</v>
      </c>
      <c r="L103" s="0" t="s">
        <v>3818</v>
      </c>
      <c r="M103" s="0" t="s">
        <v>3818</v>
      </c>
      <c r="N103" s="0" t="s">
        <v>105</v>
      </c>
      <c r="O103" s="0" t="s">
        <v>131</v>
      </c>
      <c r="P103" s="0" t="s">
        <v>131</v>
      </c>
      <c r="Q103" s="0" t="s">
        <v>132</v>
      </c>
      <c r="R103" s="0" t="s">
        <v>3836</v>
      </c>
      <c r="S103" s="0" t="s">
        <v>3837</v>
      </c>
      <c r="T103" s="0" t="s">
        <v>3819</v>
      </c>
      <c r="U103" s="0" t="s">
        <v>3820</v>
      </c>
      <c r="V103" s="0" t="s">
        <v>713</v>
      </c>
      <c r="W103" s="0" t="s">
        <v>3807</v>
      </c>
      <c r="X103" s="0" t="s">
        <v>3821</v>
      </c>
      <c r="Y103" s="0" t="s">
        <v>3820</v>
      </c>
      <c r="Z103" s="0" t="s">
        <v>3838</v>
      </c>
      <c r="AA103" s="0" t="s">
        <v>3839</v>
      </c>
      <c r="AB103" s="0" t="s">
        <v>3840</v>
      </c>
      <c r="AC103" s="0" t="s">
        <v>64</v>
      </c>
      <c r="AD103" s="0" t="s">
        <v>19</v>
      </c>
      <c r="AE103" s="0" t="s">
        <v>19</v>
      </c>
      <c r="AF103" s="0" t="s">
        <v>1944</v>
      </c>
      <c r="AG103" s="0" t="s">
        <v>1944</v>
      </c>
      <c r="AH103" s="0" t="s">
        <v>22</v>
      </c>
      <c r="AI103" s="0" t="s">
        <v>22</v>
      </c>
      <c r="AJ103" s="0" t="s">
        <v>22</v>
      </c>
      <c r="AK103" s="0" t="s">
        <v>22</v>
      </c>
    </row>
    <row customHeight="1" ht="11.25">
      <c r="A104" s="0" t="s">
        <v>22</v>
      </c>
      <c r="B104" s="0" t="s">
        <v>48</v>
      </c>
      <c r="C104" s="0" t="s">
        <v>50</v>
      </c>
      <c r="D104" s="0" t="s">
        <v>22</v>
      </c>
      <c r="E104" s="0" t="s">
        <v>4101</v>
      </c>
      <c r="F104" s="0" t="s">
        <v>3907</v>
      </c>
      <c r="G104" s="0" t="s">
        <v>150</v>
      </c>
      <c r="H104" s="0" t="s">
        <v>150</v>
      </c>
      <c r="I104" s="0" t="s">
        <v>151</v>
      </c>
      <c r="J104" s="0" t="s">
        <v>3897</v>
      </c>
      <c r="K104" s="0" t="s">
        <v>3898</v>
      </c>
      <c r="L104" s="0" t="s">
        <v>4102</v>
      </c>
      <c r="M104" s="0" t="s">
        <v>4103</v>
      </c>
      <c r="N104" s="0" t="s">
        <v>105</v>
      </c>
      <c r="O104" s="0" t="s">
        <v>150</v>
      </c>
      <c r="P104" s="0" t="s">
        <v>150</v>
      </c>
      <c r="Q104" s="0" t="s">
        <v>151</v>
      </c>
      <c r="R104" s="0" t="s">
        <v>3897</v>
      </c>
      <c r="S104" s="0" t="s">
        <v>3898</v>
      </c>
      <c r="T104" s="0" t="s">
        <v>3819</v>
      </c>
      <c r="U104" s="0" t="s">
        <v>3820</v>
      </c>
      <c r="V104" s="0" t="s">
        <v>713</v>
      </c>
      <c r="W104" s="0" t="s">
        <v>3807</v>
      </c>
      <c r="X104" s="0" t="s">
        <v>3821</v>
      </c>
      <c r="Y104" s="0" t="s">
        <v>3820</v>
      </c>
      <c r="Z104" s="0" t="s">
        <v>3900</v>
      </c>
      <c r="AA104" s="0" t="s">
        <v>3901</v>
      </c>
      <c r="AB104" s="0" t="s">
        <v>3902</v>
      </c>
      <c r="AC104" s="0" t="s">
        <v>64</v>
      </c>
      <c r="AD104" s="0" t="s">
        <v>64</v>
      </c>
      <c r="AE104" s="0" t="s">
        <v>64</v>
      </c>
      <c r="AF104" s="0" t="s">
        <v>3905</v>
      </c>
      <c r="AG104" s="0" t="s">
        <v>3904</v>
      </c>
      <c r="AH104" s="0" t="s">
        <v>3905</v>
      </c>
      <c r="AI104" s="0" t="s">
        <v>514</v>
      </c>
      <c r="AJ104" s="0" t="s">
        <v>3905</v>
      </c>
      <c r="AK104" s="0" t="s">
        <v>514</v>
      </c>
    </row>
    <row customHeight="1" ht="11.25">
      <c r="A105" s="0" t="s">
        <v>22</v>
      </c>
      <c r="B105" s="0" t="s">
        <v>48</v>
      </c>
      <c r="C105" s="0" t="s">
        <v>50</v>
      </c>
      <c r="D105" s="0" t="s">
        <v>22</v>
      </c>
      <c r="E105" s="0" t="s">
        <v>4101</v>
      </c>
      <c r="F105" s="0" t="s">
        <v>3907</v>
      </c>
      <c r="G105" s="0" t="s">
        <v>150</v>
      </c>
      <c r="H105" s="0" t="s">
        <v>150</v>
      </c>
      <c r="I105" s="0" t="s">
        <v>151</v>
      </c>
      <c r="J105" s="0" t="s">
        <v>3897</v>
      </c>
      <c r="K105" s="0" t="s">
        <v>3898</v>
      </c>
      <c r="L105" s="0" t="s">
        <v>4102</v>
      </c>
      <c r="M105" s="0" t="s">
        <v>4103</v>
      </c>
      <c r="N105" s="0" t="s">
        <v>105</v>
      </c>
      <c r="O105" s="0" t="s">
        <v>150</v>
      </c>
      <c r="P105" s="0" t="s">
        <v>150</v>
      </c>
      <c r="Q105" s="0" t="s">
        <v>151</v>
      </c>
      <c r="R105" s="0" t="s">
        <v>3897</v>
      </c>
      <c r="S105" s="0" t="s">
        <v>3898</v>
      </c>
      <c r="T105" s="0" t="s">
        <v>3819</v>
      </c>
      <c r="U105" s="0" t="s">
        <v>3820</v>
      </c>
      <c r="V105" s="0" t="s">
        <v>713</v>
      </c>
      <c r="W105" s="0" t="s">
        <v>3807</v>
      </c>
      <c r="X105" s="0" t="s">
        <v>3821</v>
      </c>
      <c r="Y105" s="0" t="s">
        <v>3820</v>
      </c>
      <c r="Z105" s="0" t="s">
        <v>3900</v>
      </c>
      <c r="AA105" s="0" t="s">
        <v>3901</v>
      </c>
      <c r="AB105" s="0" t="s">
        <v>3902</v>
      </c>
      <c r="AC105" s="0" t="s">
        <v>64</v>
      </c>
      <c r="AD105" s="0" t="s">
        <v>64</v>
      </c>
      <c r="AE105" s="0" t="s">
        <v>64</v>
      </c>
      <c r="AF105" s="0" t="s">
        <v>3905</v>
      </c>
      <c r="AG105" s="0" t="s">
        <v>3904</v>
      </c>
      <c r="AH105" s="0" t="s">
        <v>3905</v>
      </c>
      <c r="AI105" s="0" t="s">
        <v>514</v>
      </c>
      <c r="AJ105" s="0" t="s">
        <v>3905</v>
      </c>
      <c r="AK105" s="0" t="s">
        <v>514</v>
      </c>
    </row>
    <row customHeight="1" ht="11.25">
      <c r="A106" s="0" t="s">
        <v>22</v>
      </c>
      <c r="B106" s="0" t="s">
        <v>48</v>
      </c>
      <c r="C106" s="0" t="s">
        <v>50</v>
      </c>
      <c r="D106" s="0" t="s">
        <v>22</v>
      </c>
      <c r="E106" s="0" t="s">
        <v>4104</v>
      </c>
      <c r="F106" s="0" t="s">
        <v>1305</v>
      </c>
      <c r="G106" s="0" t="s">
        <v>131</v>
      </c>
      <c r="H106" s="0" t="s">
        <v>131</v>
      </c>
      <c r="I106" s="0" t="s">
        <v>132</v>
      </c>
      <c r="J106" s="0" t="s">
        <v>4105</v>
      </c>
      <c r="K106" s="0" t="s">
        <v>4106</v>
      </c>
      <c r="L106" s="0" t="s">
        <v>3818</v>
      </c>
      <c r="M106" s="0" t="s">
        <v>3818</v>
      </c>
      <c r="N106" s="0" t="s">
        <v>105</v>
      </c>
      <c r="O106" s="0" t="s">
        <v>131</v>
      </c>
      <c r="P106" s="0" t="s">
        <v>131</v>
      </c>
      <c r="Q106" s="0" t="s">
        <v>132</v>
      </c>
      <c r="R106" s="0" t="s">
        <v>4105</v>
      </c>
      <c r="S106" s="0" t="s">
        <v>4106</v>
      </c>
      <c r="T106" s="0" t="s">
        <v>3819</v>
      </c>
      <c r="U106" s="0" t="s">
        <v>3820</v>
      </c>
      <c r="V106" s="0" t="s">
        <v>713</v>
      </c>
      <c r="W106" s="0" t="s">
        <v>3807</v>
      </c>
      <c r="X106" s="0" t="s">
        <v>3821</v>
      </c>
      <c r="Y106" s="0" t="s">
        <v>3820</v>
      </c>
      <c r="Z106" s="0" t="s">
        <v>3838</v>
      </c>
      <c r="AA106" s="0" t="s">
        <v>3839</v>
      </c>
      <c r="AB106" s="0" t="s">
        <v>3840</v>
      </c>
      <c r="AC106" s="0" t="s">
        <v>64</v>
      </c>
      <c r="AD106" s="0" t="s">
        <v>19</v>
      </c>
      <c r="AE106" s="0" t="s">
        <v>64</v>
      </c>
      <c r="AF106" s="0" t="s">
        <v>4107</v>
      </c>
      <c r="AG106" s="0" t="s">
        <v>4108</v>
      </c>
      <c r="AH106" s="0" t="s">
        <v>22</v>
      </c>
      <c r="AI106" s="0" t="s">
        <v>22</v>
      </c>
      <c r="AJ106" s="0" t="s">
        <v>4107</v>
      </c>
      <c r="AK106" s="0" t="s">
        <v>4108</v>
      </c>
    </row>
    <row customHeight="1" ht="11.25">
      <c r="A107" s="0" t="s">
        <v>22</v>
      </c>
      <c r="B107" s="0" t="s">
        <v>48</v>
      </c>
      <c r="C107" s="0" t="s">
        <v>50</v>
      </c>
      <c r="D107" s="0" t="s">
        <v>22</v>
      </c>
      <c r="E107" s="0" t="s">
        <v>4104</v>
      </c>
      <c r="F107" s="0" t="s">
        <v>1305</v>
      </c>
      <c r="G107" s="0" t="s">
        <v>131</v>
      </c>
      <c r="H107" s="0" t="s">
        <v>131</v>
      </c>
      <c r="I107" s="0" t="s">
        <v>132</v>
      </c>
      <c r="J107" s="0" t="s">
        <v>4105</v>
      </c>
      <c r="K107" s="0" t="s">
        <v>4106</v>
      </c>
      <c r="L107" s="0" t="s">
        <v>3818</v>
      </c>
      <c r="M107" s="0" t="s">
        <v>3818</v>
      </c>
      <c r="N107" s="0" t="s">
        <v>105</v>
      </c>
      <c r="O107" s="0" t="s">
        <v>131</v>
      </c>
      <c r="P107" s="0" t="s">
        <v>131</v>
      </c>
      <c r="Q107" s="0" t="s">
        <v>132</v>
      </c>
      <c r="R107" s="0" t="s">
        <v>4105</v>
      </c>
      <c r="S107" s="0" t="s">
        <v>4106</v>
      </c>
      <c r="T107" s="0" t="s">
        <v>3819</v>
      </c>
      <c r="U107" s="0" t="s">
        <v>3820</v>
      </c>
      <c r="V107" s="0" t="s">
        <v>713</v>
      </c>
      <c r="W107" s="0" t="s">
        <v>3807</v>
      </c>
      <c r="X107" s="0" t="s">
        <v>3821</v>
      </c>
      <c r="Y107" s="0" t="s">
        <v>3820</v>
      </c>
      <c r="Z107" s="0" t="s">
        <v>3838</v>
      </c>
      <c r="AA107" s="0" t="s">
        <v>3839</v>
      </c>
      <c r="AB107" s="0" t="s">
        <v>3840</v>
      </c>
      <c r="AC107" s="0" t="s">
        <v>64</v>
      </c>
      <c r="AD107" s="0" t="s">
        <v>19</v>
      </c>
      <c r="AE107" s="0" t="s">
        <v>64</v>
      </c>
      <c r="AF107" s="0" t="s">
        <v>4107</v>
      </c>
      <c r="AG107" s="0" t="s">
        <v>4108</v>
      </c>
      <c r="AH107" s="0" t="s">
        <v>22</v>
      </c>
      <c r="AI107" s="0" t="s">
        <v>22</v>
      </c>
      <c r="AJ107" s="0" t="s">
        <v>4107</v>
      </c>
      <c r="AK107" s="0" t="s">
        <v>4108</v>
      </c>
    </row>
    <row customHeight="1" ht="11.25">
      <c r="A108" s="0" t="s">
        <v>22</v>
      </c>
      <c r="B108" s="0" t="s">
        <v>48</v>
      </c>
      <c r="C108" s="0" t="s">
        <v>50</v>
      </c>
      <c r="D108" s="0" t="s">
        <v>22</v>
      </c>
      <c r="E108" s="0" t="s">
        <v>4109</v>
      </c>
      <c r="F108" s="0" t="s">
        <v>1305</v>
      </c>
      <c r="G108" s="0" t="s">
        <v>131</v>
      </c>
      <c r="H108" s="0" t="s">
        <v>131</v>
      </c>
      <c r="I108" s="0" t="s">
        <v>132</v>
      </c>
      <c r="J108" s="0" t="s">
        <v>4110</v>
      </c>
      <c r="K108" s="0" t="s">
        <v>4111</v>
      </c>
      <c r="L108" s="0" t="s">
        <v>3818</v>
      </c>
      <c r="M108" s="0" t="s">
        <v>3910</v>
      </c>
      <c r="N108" s="0" t="s">
        <v>105</v>
      </c>
      <c r="O108" s="0" t="s">
        <v>131</v>
      </c>
      <c r="P108" s="0" t="s">
        <v>131</v>
      </c>
      <c r="Q108" s="0" t="s">
        <v>132</v>
      </c>
      <c r="R108" s="0" t="s">
        <v>4110</v>
      </c>
      <c r="S108" s="0" t="s">
        <v>4111</v>
      </c>
      <c r="T108" s="0" t="s">
        <v>3819</v>
      </c>
      <c r="U108" s="0" t="s">
        <v>3820</v>
      </c>
      <c r="V108" s="0" t="s">
        <v>713</v>
      </c>
      <c r="W108" s="0" t="s">
        <v>3807</v>
      </c>
      <c r="X108" s="0" t="s">
        <v>3821</v>
      </c>
      <c r="Y108" s="0" t="s">
        <v>3820</v>
      </c>
      <c r="Z108" s="0" t="s">
        <v>3838</v>
      </c>
      <c r="AA108" s="0" t="s">
        <v>3839</v>
      </c>
      <c r="AB108" s="0" t="s">
        <v>3840</v>
      </c>
      <c r="AC108" s="0" t="s">
        <v>64</v>
      </c>
      <c r="AD108" s="0" t="s">
        <v>19</v>
      </c>
      <c r="AE108" s="0" t="s">
        <v>64</v>
      </c>
      <c r="AF108" s="0" t="s">
        <v>4112</v>
      </c>
      <c r="AG108" s="0" t="s">
        <v>4113</v>
      </c>
      <c r="AH108" s="0" t="s">
        <v>22</v>
      </c>
      <c r="AI108" s="0" t="s">
        <v>22</v>
      </c>
      <c r="AJ108" s="0" t="s">
        <v>4112</v>
      </c>
      <c r="AK108" s="0" t="s">
        <v>4113</v>
      </c>
    </row>
    <row customHeight="1" ht="11.25">
      <c r="A109" s="0" t="s">
        <v>22</v>
      </c>
      <c r="B109" s="0" t="s">
        <v>48</v>
      </c>
      <c r="C109" s="0" t="s">
        <v>50</v>
      </c>
      <c r="D109" s="0" t="s">
        <v>22</v>
      </c>
      <c r="E109" s="0" t="s">
        <v>4109</v>
      </c>
      <c r="F109" s="0" t="s">
        <v>1305</v>
      </c>
      <c r="G109" s="0" t="s">
        <v>131</v>
      </c>
      <c r="H109" s="0" t="s">
        <v>131</v>
      </c>
      <c r="I109" s="0" t="s">
        <v>132</v>
      </c>
      <c r="J109" s="0" t="s">
        <v>4110</v>
      </c>
      <c r="K109" s="0" t="s">
        <v>4111</v>
      </c>
      <c r="L109" s="0" t="s">
        <v>3818</v>
      </c>
      <c r="M109" s="0" t="s">
        <v>3910</v>
      </c>
      <c r="N109" s="0" t="s">
        <v>105</v>
      </c>
      <c r="O109" s="0" t="s">
        <v>131</v>
      </c>
      <c r="P109" s="0" t="s">
        <v>131</v>
      </c>
      <c r="Q109" s="0" t="s">
        <v>132</v>
      </c>
      <c r="R109" s="0" t="s">
        <v>4110</v>
      </c>
      <c r="S109" s="0" t="s">
        <v>4111</v>
      </c>
      <c r="T109" s="0" t="s">
        <v>3819</v>
      </c>
      <c r="U109" s="0" t="s">
        <v>3820</v>
      </c>
      <c r="V109" s="0" t="s">
        <v>713</v>
      </c>
      <c r="W109" s="0" t="s">
        <v>3807</v>
      </c>
      <c r="X109" s="0" t="s">
        <v>3821</v>
      </c>
      <c r="Y109" s="0" t="s">
        <v>3820</v>
      </c>
      <c r="Z109" s="0" t="s">
        <v>3838</v>
      </c>
      <c r="AA109" s="0" t="s">
        <v>3839</v>
      </c>
      <c r="AB109" s="0" t="s">
        <v>3840</v>
      </c>
      <c r="AC109" s="0" t="s">
        <v>64</v>
      </c>
      <c r="AD109" s="0" t="s">
        <v>19</v>
      </c>
      <c r="AE109" s="0" t="s">
        <v>64</v>
      </c>
      <c r="AF109" s="0" t="s">
        <v>4112</v>
      </c>
      <c r="AG109" s="0" t="s">
        <v>4113</v>
      </c>
      <c r="AH109" s="0" t="s">
        <v>22</v>
      </c>
      <c r="AI109" s="0" t="s">
        <v>22</v>
      </c>
      <c r="AJ109" s="0" t="s">
        <v>4112</v>
      </c>
      <c r="AK109" s="0" t="s">
        <v>4113</v>
      </c>
    </row>
    <row customHeight="1" ht="11.25">
      <c r="A110" s="0" t="s">
        <v>22</v>
      </c>
      <c r="B110" s="0" t="s">
        <v>48</v>
      </c>
      <c r="C110" s="0" t="s">
        <v>50</v>
      </c>
      <c r="D110" s="0" t="s">
        <v>22</v>
      </c>
      <c r="E110" s="0" t="s">
        <v>4114</v>
      </c>
      <c r="F110" s="0" t="s">
        <v>1305</v>
      </c>
      <c r="G110" s="0" t="s">
        <v>131</v>
      </c>
      <c r="H110" s="0" t="s">
        <v>131</v>
      </c>
      <c r="I110" s="0" t="s">
        <v>132</v>
      </c>
      <c r="J110" s="0" t="s">
        <v>4115</v>
      </c>
      <c r="K110" s="0" t="s">
        <v>4116</v>
      </c>
      <c r="L110" s="0" t="s">
        <v>4117</v>
      </c>
      <c r="M110" s="0" t="s">
        <v>3845</v>
      </c>
      <c r="N110" s="0" t="s">
        <v>105</v>
      </c>
      <c r="O110" s="0" t="s">
        <v>131</v>
      </c>
      <c r="P110" s="0" t="s">
        <v>131</v>
      </c>
      <c r="Q110" s="0" t="s">
        <v>132</v>
      </c>
      <c r="R110" s="0" t="s">
        <v>4115</v>
      </c>
      <c r="S110" s="0" t="s">
        <v>4116</v>
      </c>
      <c r="T110" s="0" t="s">
        <v>3819</v>
      </c>
      <c r="U110" s="0" t="s">
        <v>3820</v>
      </c>
      <c r="V110" s="0" t="s">
        <v>713</v>
      </c>
      <c r="W110" s="0" t="s">
        <v>3807</v>
      </c>
      <c r="X110" s="0" t="s">
        <v>3821</v>
      </c>
      <c r="Y110" s="0" t="s">
        <v>3820</v>
      </c>
      <c r="Z110" s="0" t="s">
        <v>3838</v>
      </c>
      <c r="AA110" s="0" t="s">
        <v>3839</v>
      </c>
      <c r="AB110" s="0" t="s">
        <v>3840</v>
      </c>
      <c r="AC110" s="0" t="s">
        <v>64</v>
      </c>
      <c r="AD110" s="0" t="s">
        <v>19</v>
      </c>
      <c r="AE110" s="0" t="s">
        <v>64</v>
      </c>
      <c r="AF110" s="0" t="s">
        <v>4112</v>
      </c>
      <c r="AG110" s="0" t="s">
        <v>4118</v>
      </c>
      <c r="AH110" s="0" t="s">
        <v>22</v>
      </c>
      <c r="AI110" s="0" t="s">
        <v>22</v>
      </c>
      <c r="AJ110" s="0" t="s">
        <v>4112</v>
      </c>
      <c r="AK110" s="0" t="s">
        <v>4118</v>
      </c>
    </row>
    <row customHeight="1" ht="11.25">
      <c r="A111" s="0" t="s">
        <v>22</v>
      </c>
      <c r="B111" s="0" t="s">
        <v>48</v>
      </c>
      <c r="C111" s="0" t="s">
        <v>50</v>
      </c>
      <c r="D111" s="0" t="s">
        <v>22</v>
      </c>
      <c r="E111" s="0" t="s">
        <v>4114</v>
      </c>
      <c r="F111" s="0" t="s">
        <v>1305</v>
      </c>
      <c r="G111" s="0" t="s">
        <v>131</v>
      </c>
      <c r="H111" s="0" t="s">
        <v>131</v>
      </c>
      <c r="I111" s="0" t="s">
        <v>132</v>
      </c>
      <c r="J111" s="0" t="s">
        <v>4115</v>
      </c>
      <c r="K111" s="0" t="s">
        <v>4116</v>
      </c>
      <c r="L111" s="0" t="s">
        <v>4117</v>
      </c>
      <c r="M111" s="0" t="s">
        <v>3845</v>
      </c>
      <c r="N111" s="0" t="s">
        <v>105</v>
      </c>
      <c r="O111" s="0" t="s">
        <v>131</v>
      </c>
      <c r="P111" s="0" t="s">
        <v>131</v>
      </c>
      <c r="Q111" s="0" t="s">
        <v>132</v>
      </c>
      <c r="R111" s="0" t="s">
        <v>4115</v>
      </c>
      <c r="S111" s="0" t="s">
        <v>4116</v>
      </c>
      <c r="T111" s="0" t="s">
        <v>3819</v>
      </c>
      <c r="U111" s="0" t="s">
        <v>3820</v>
      </c>
      <c r="V111" s="0" t="s">
        <v>713</v>
      </c>
      <c r="W111" s="0" t="s">
        <v>3807</v>
      </c>
      <c r="X111" s="0" t="s">
        <v>3821</v>
      </c>
      <c r="Y111" s="0" t="s">
        <v>3820</v>
      </c>
      <c r="Z111" s="0" t="s">
        <v>3838</v>
      </c>
      <c r="AA111" s="0" t="s">
        <v>3839</v>
      </c>
      <c r="AB111" s="0" t="s">
        <v>3840</v>
      </c>
      <c r="AC111" s="0" t="s">
        <v>64</v>
      </c>
      <c r="AD111" s="0" t="s">
        <v>19</v>
      </c>
      <c r="AE111" s="0" t="s">
        <v>64</v>
      </c>
      <c r="AF111" s="0" t="s">
        <v>4112</v>
      </c>
      <c r="AG111" s="0" t="s">
        <v>4118</v>
      </c>
      <c r="AH111" s="0" t="s">
        <v>22</v>
      </c>
      <c r="AI111" s="0" t="s">
        <v>22</v>
      </c>
      <c r="AJ111" s="0" t="s">
        <v>4112</v>
      </c>
      <c r="AK111" s="0" t="s">
        <v>4118</v>
      </c>
    </row>
    <row customHeight="1" ht="11.25">
      <c r="A112" s="0" t="s">
        <v>22</v>
      </c>
      <c r="B112" s="0" t="s">
        <v>48</v>
      </c>
      <c r="C112" s="0" t="s">
        <v>50</v>
      </c>
      <c r="D112" s="0" t="s">
        <v>22</v>
      </c>
      <c r="E112" s="0" t="s">
        <v>4119</v>
      </c>
      <c r="F112" s="0" t="s">
        <v>1305</v>
      </c>
      <c r="G112" s="0" t="s">
        <v>3548</v>
      </c>
      <c r="H112" s="0" t="s">
        <v>3548</v>
      </c>
      <c r="I112" s="0" t="s">
        <v>3549</v>
      </c>
      <c r="J112" s="0" t="s">
        <v>4120</v>
      </c>
      <c r="K112" s="0" t="s">
        <v>4121</v>
      </c>
      <c r="L112" s="0" t="s">
        <v>4122</v>
      </c>
      <c r="M112" s="0" t="s">
        <v>4123</v>
      </c>
      <c r="N112" s="0" t="s">
        <v>105</v>
      </c>
      <c r="O112" s="0" t="s">
        <v>3548</v>
      </c>
      <c r="P112" s="0" t="s">
        <v>3548</v>
      </c>
      <c r="Q112" s="0" t="s">
        <v>3549</v>
      </c>
      <c r="R112" s="0" t="s">
        <v>4120</v>
      </c>
      <c r="S112" s="0" t="s">
        <v>4121</v>
      </c>
      <c r="T112" s="0" t="s">
        <v>3819</v>
      </c>
      <c r="U112" s="0" t="s">
        <v>3820</v>
      </c>
      <c r="V112" s="0" t="s">
        <v>713</v>
      </c>
      <c r="W112" s="0" t="s">
        <v>3807</v>
      </c>
      <c r="X112" s="0" t="s">
        <v>3821</v>
      </c>
      <c r="Y112" s="0" t="s">
        <v>3820</v>
      </c>
      <c r="Z112" s="0" t="s">
        <v>4124</v>
      </c>
      <c r="AA112" s="0" t="s">
        <v>4125</v>
      </c>
      <c r="AB112" s="0" t="s">
        <v>4126</v>
      </c>
      <c r="AC112" s="0" t="s">
        <v>64</v>
      </c>
      <c r="AD112" s="0" t="s">
        <v>19</v>
      </c>
      <c r="AE112" s="0" t="s">
        <v>64</v>
      </c>
      <c r="AF112" s="0" t="s">
        <v>91</v>
      </c>
      <c r="AG112" s="0" t="s">
        <v>514</v>
      </c>
      <c r="AH112" s="0" t="s">
        <v>22</v>
      </c>
      <c r="AI112" s="0" t="s">
        <v>22</v>
      </c>
      <c r="AJ112" s="0" t="s">
        <v>2001</v>
      </c>
      <c r="AK112" s="0" t="s">
        <v>514</v>
      </c>
    </row>
    <row customHeight="1" ht="11.25">
      <c r="A113" s="0" t="s">
        <v>22</v>
      </c>
      <c r="B113" s="0" t="s">
        <v>48</v>
      </c>
      <c r="C113" s="0" t="s">
        <v>50</v>
      </c>
      <c r="D113" s="0" t="s">
        <v>22</v>
      </c>
      <c r="E113" s="0" t="s">
        <v>4119</v>
      </c>
      <c r="F113" s="0" t="s">
        <v>1305</v>
      </c>
      <c r="G113" s="0" t="s">
        <v>158</v>
      </c>
      <c r="H113" s="0" t="s">
        <v>159</v>
      </c>
      <c r="I113" s="0" t="s">
        <v>160</v>
      </c>
      <c r="J113" s="0" t="s">
        <v>4120</v>
      </c>
      <c r="K113" s="0" t="s">
        <v>4127</v>
      </c>
      <c r="L113" s="0" t="s">
        <v>4122</v>
      </c>
      <c r="M113" s="0" t="s">
        <v>4123</v>
      </c>
      <c r="N113" s="0" t="s">
        <v>105</v>
      </c>
      <c r="O113" s="0" t="s">
        <v>158</v>
      </c>
      <c r="P113" s="0" t="s">
        <v>159</v>
      </c>
      <c r="Q113" s="0" t="s">
        <v>160</v>
      </c>
      <c r="R113" s="0" t="s">
        <v>4120</v>
      </c>
      <c r="S113" s="0" t="s">
        <v>4127</v>
      </c>
      <c r="T113" s="0" t="s">
        <v>3819</v>
      </c>
      <c r="U113" s="0" t="s">
        <v>3820</v>
      </c>
      <c r="V113" s="0" t="s">
        <v>713</v>
      </c>
      <c r="W113" s="0" t="s">
        <v>3807</v>
      </c>
      <c r="X113" s="0" t="s">
        <v>3821</v>
      </c>
      <c r="Y113" s="0" t="s">
        <v>3820</v>
      </c>
      <c r="Z113" s="0" t="s">
        <v>4124</v>
      </c>
      <c r="AA113" s="0" t="s">
        <v>4125</v>
      </c>
      <c r="AB113" s="0" t="s">
        <v>4126</v>
      </c>
      <c r="AC113" s="0" t="s">
        <v>64</v>
      </c>
      <c r="AD113" s="0" t="s">
        <v>19</v>
      </c>
      <c r="AE113" s="0" t="s">
        <v>64</v>
      </c>
      <c r="AF113" s="0" t="s">
        <v>91</v>
      </c>
      <c r="AG113" s="0" t="s">
        <v>514</v>
      </c>
      <c r="AH113" s="0" t="s">
        <v>22</v>
      </c>
      <c r="AI113" s="0" t="s">
        <v>22</v>
      </c>
      <c r="AJ113" s="0" t="s">
        <v>2001</v>
      </c>
      <c r="AK113" s="0" t="s">
        <v>514</v>
      </c>
    </row>
    <row customHeight="1" ht="11.25">
      <c r="A114" s="0" t="s">
        <v>22</v>
      </c>
      <c r="B114" s="0" t="s">
        <v>48</v>
      </c>
      <c r="C114" s="0" t="s">
        <v>50</v>
      </c>
      <c r="D114" s="0" t="s">
        <v>22</v>
      </c>
      <c r="E114" s="0" t="s">
        <v>4128</v>
      </c>
      <c r="F114" s="0" t="s">
        <v>3815</v>
      </c>
      <c r="G114" s="0" t="s">
        <v>99</v>
      </c>
      <c r="H114" s="0" t="s">
        <v>99</v>
      </c>
      <c r="I114" s="0" t="s">
        <v>100</v>
      </c>
      <c r="J114" s="0" t="s">
        <v>3842</v>
      </c>
      <c r="K114" s="0" t="s">
        <v>3843</v>
      </c>
      <c r="L114" s="0" t="s">
        <v>4129</v>
      </c>
      <c r="M114" s="0" t="s">
        <v>4130</v>
      </c>
      <c r="N114" s="0" t="s">
        <v>105</v>
      </c>
      <c r="O114" s="0" t="s">
        <v>99</v>
      </c>
      <c r="P114" s="0" t="s">
        <v>99</v>
      </c>
      <c r="Q114" s="0" t="s">
        <v>100</v>
      </c>
      <c r="R114" s="0" t="s">
        <v>3842</v>
      </c>
      <c r="S114" s="0" t="s">
        <v>3843</v>
      </c>
      <c r="T114" s="0" t="s">
        <v>3819</v>
      </c>
      <c r="U114" s="0" t="s">
        <v>3820</v>
      </c>
      <c r="V114" s="0" t="s">
        <v>713</v>
      </c>
      <c r="W114" s="0" t="s">
        <v>3807</v>
      </c>
      <c r="X114" s="0" t="s">
        <v>3821</v>
      </c>
      <c r="Y114" s="0" t="s">
        <v>3820</v>
      </c>
      <c r="Z114" s="0" t="s">
        <v>3846</v>
      </c>
      <c r="AA114" s="0" t="s">
        <v>3847</v>
      </c>
      <c r="AB114" s="0" t="s">
        <v>4131</v>
      </c>
      <c r="AC114" s="0" t="s">
        <v>64</v>
      </c>
      <c r="AD114" s="0" t="s">
        <v>19</v>
      </c>
      <c r="AE114" s="0" t="s">
        <v>19</v>
      </c>
      <c r="AF114" s="0" t="s">
        <v>155</v>
      </c>
      <c r="AG114" s="0" t="s">
        <v>155</v>
      </c>
      <c r="AH114" s="0" t="s">
        <v>22</v>
      </c>
      <c r="AI114" s="0" t="s">
        <v>22</v>
      </c>
      <c r="AJ114" s="0" t="s">
        <v>22</v>
      </c>
      <c r="AK114" s="0" t="s">
        <v>22</v>
      </c>
    </row>
    <row customHeight="1" ht="11.25">
      <c r="A115" s="0" t="s">
        <v>22</v>
      </c>
      <c r="B115" s="0" t="s">
        <v>48</v>
      </c>
      <c r="C115" s="0" t="s">
        <v>50</v>
      </c>
      <c r="D115" s="0" t="s">
        <v>22</v>
      </c>
      <c r="E115" s="0" t="s">
        <v>4128</v>
      </c>
      <c r="F115" s="0" t="s">
        <v>3815</v>
      </c>
      <c r="G115" s="0" t="s">
        <v>99</v>
      </c>
      <c r="H115" s="0" t="s">
        <v>99</v>
      </c>
      <c r="I115" s="0" t="s">
        <v>100</v>
      </c>
      <c r="J115" s="0" t="s">
        <v>3842</v>
      </c>
      <c r="K115" s="0" t="s">
        <v>3843</v>
      </c>
      <c r="L115" s="0" t="s">
        <v>4129</v>
      </c>
      <c r="M115" s="0" t="s">
        <v>4130</v>
      </c>
      <c r="N115" s="0" t="s">
        <v>105</v>
      </c>
      <c r="O115" s="0" t="s">
        <v>99</v>
      </c>
      <c r="P115" s="0" t="s">
        <v>99</v>
      </c>
      <c r="Q115" s="0" t="s">
        <v>100</v>
      </c>
      <c r="R115" s="0" t="s">
        <v>3842</v>
      </c>
      <c r="S115" s="0" t="s">
        <v>3843</v>
      </c>
      <c r="T115" s="0" t="s">
        <v>3819</v>
      </c>
      <c r="U115" s="0" t="s">
        <v>3820</v>
      </c>
      <c r="V115" s="0" t="s">
        <v>713</v>
      </c>
      <c r="W115" s="0" t="s">
        <v>3807</v>
      </c>
      <c r="X115" s="0" t="s">
        <v>3821</v>
      </c>
      <c r="Y115" s="0" t="s">
        <v>3820</v>
      </c>
      <c r="Z115" s="0" t="s">
        <v>3846</v>
      </c>
      <c r="AA115" s="0" t="s">
        <v>3847</v>
      </c>
      <c r="AB115" s="0" t="s">
        <v>4131</v>
      </c>
      <c r="AC115" s="0" t="s">
        <v>64</v>
      </c>
      <c r="AD115" s="0" t="s">
        <v>19</v>
      </c>
      <c r="AE115" s="0" t="s">
        <v>19</v>
      </c>
      <c r="AF115" s="0" t="s">
        <v>155</v>
      </c>
      <c r="AG115" s="0" t="s">
        <v>155</v>
      </c>
      <c r="AH115" s="0" t="s">
        <v>22</v>
      </c>
      <c r="AI115" s="0" t="s">
        <v>22</v>
      </c>
      <c r="AJ115" s="0" t="s">
        <v>22</v>
      </c>
      <c r="AK115" s="0" t="s">
        <v>22</v>
      </c>
    </row>
    <row customHeight="1" ht="11.25">
      <c r="A116" s="0" t="s">
        <v>22</v>
      </c>
      <c r="B116" s="0" t="s">
        <v>48</v>
      </c>
      <c r="C116" s="0" t="s">
        <v>50</v>
      </c>
      <c r="D116" s="0" t="s">
        <v>22</v>
      </c>
      <c r="E116" s="0" t="s">
        <v>4132</v>
      </c>
      <c r="F116" s="0" t="s">
        <v>3815</v>
      </c>
      <c r="G116" s="0" t="s">
        <v>99</v>
      </c>
      <c r="H116" s="0" t="s">
        <v>99</v>
      </c>
      <c r="I116" s="0" t="s">
        <v>100</v>
      </c>
      <c r="J116" s="0" t="s">
        <v>3842</v>
      </c>
      <c r="K116" s="0" t="s">
        <v>3843</v>
      </c>
      <c r="L116" s="0" t="s">
        <v>4129</v>
      </c>
      <c r="M116" s="0" t="s">
        <v>4130</v>
      </c>
      <c r="N116" s="0" t="s">
        <v>105</v>
      </c>
      <c r="O116" s="0" t="s">
        <v>99</v>
      </c>
      <c r="P116" s="0" t="s">
        <v>99</v>
      </c>
      <c r="Q116" s="0" t="s">
        <v>100</v>
      </c>
      <c r="R116" s="0" t="s">
        <v>3842</v>
      </c>
      <c r="S116" s="0" t="s">
        <v>3843</v>
      </c>
      <c r="T116" s="0" t="s">
        <v>3819</v>
      </c>
      <c r="U116" s="0" t="s">
        <v>3820</v>
      </c>
      <c r="V116" s="0" t="s">
        <v>713</v>
      </c>
      <c r="W116" s="0" t="s">
        <v>3807</v>
      </c>
      <c r="X116" s="0" t="s">
        <v>3821</v>
      </c>
      <c r="Y116" s="0" t="s">
        <v>3820</v>
      </c>
      <c r="Z116" s="0" t="s">
        <v>3846</v>
      </c>
      <c r="AA116" s="0" t="s">
        <v>3847</v>
      </c>
      <c r="AB116" s="0" t="s">
        <v>4131</v>
      </c>
      <c r="AC116" s="0" t="s">
        <v>64</v>
      </c>
      <c r="AD116" s="0" t="s">
        <v>19</v>
      </c>
      <c r="AE116" s="0" t="s">
        <v>19</v>
      </c>
      <c r="AF116" s="0" t="s">
        <v>1887</v>
      </c>
      <c r="AG116" s="0" t="s">
        <v>165</v>
      </c>
      <c r="AH116" s="0" t="s">
        <v>22</v>
      </c>
      <c r="AI116" s="0" t="s">
        <v>22</v>
      </c>
      <c r="AJ116" s="0" t="s">
        <v>22</v>
      </c>
      <c r="AK116" s="0" t="s">
        <v>22</v>
      </c>
    </row>
    <row customHeight="1" ht="11.25">
      <c r="A117" s="0" t="s">
        <v>22</v>
      </c>
      <c r="B117" s="0" t="s">
        <v>48</v>
      </c>
      <c r="C117" s="0" t="s">
        <v>50</v>
      </c>
      <c r="D117" s="0" t="s">
        <v>22</v>
      </c>
      <c r="E117" s="0" t="s">
        <v>4132</v>
      </c>
      <c r="F117" s="0" t="s">
        <v>3815</v>
      </c>
      <c r="G117" s="0" t="s">
        <v>99</v>
      </c>
      <c r="H117" s="0" t="s">
        <v>99</v>
      </c>
      <c r="I117" s="0" t="s">
        <v>100</v>
      </c>
      <c r="J117" s="0" t="s">
        <v>3842</v>
      </c>
      <c r="K117" s="0" t="s">
        <v>3843</v>
      </c>
      <c r="L117" s="0" t="s">
        <v>4129</v>
      </c>
      <c r="M117" s="0" t="s">
        <v>4130</v>
      </c>
      <c r="N117" s="0" t="s">
        <v>105</v>
      </c>
      <c r="O117" s="0" t="s">
        <v>99</v>
      </c>
      <c r="P117" s="0" t="s">
        <v>99</v>
      </c>
      <c r="Q117" s="0" t="s">
        <v>100</v>
      </c>
      <c r="R117" s="0" t="s">
        <v>3842</v>
      </c>
      <c r="S117" s="0" t="s">
        <v>3843</v>
      </c>
      <c r="T117" s="0" t="s">
        <v>3819</v>
      </c>
      <c r="U117" s="0" t="s">
        <v>3820</v>
      </c>
      <c r="V117" s="0" t="s">
        <v>713</v>
      </c>
      <c r="W117" s="0" t="s">
        <v>3807</v>
      </c>
      <c r="X117" s="0" t="s">
        <v>3821</v>
      </c>
      <c r="Y117" s="0" t="s">
        <v>3820</v>
      </c>
      <c r="Z117" s="0" t="s">
        <v>3846</v>
      </c>
      <c r="AA117" s="0" t="s">
        <v>3847</v>
      </c>
      <c r="AB117" s="0" t="s">
        <v>4131</v>
      </c>
      <c r="AC117" s="0" t="s">
        <v>64</v>
      </c>
      <c r="AD117" s="0" t="s">
        <v>19</v>
      </c>
      <c r="AE117" s="0" t="s">
        <v>19</v>
      </c>
      <c r="AF117" s="0" t="s">
        <v>1887</v>
      </c>
      <c r="AG117" s="0" t="s">
        <v>165</v>
      </c>
      <c r="AH117" s="0" t="s">
        <v>22</v>
      </c>
      <c r="AI117" s="0" t="s">
        <v>22</v>
      </c>
      <c r="AJ117" s="0" t="s">
        <v>22</v>
      </c>
      <c r="AK117" s="0" t="s">
        <v>22</v>
      </c>
    </row>
    <row customHeight="1" ht="11.25">
      <c r="A118" s="0" t="s">
        <v>22</v>
      </c>
      <c r="B118" s="0" t="s">
        <v>48</v>
      </c>
      <c r="C118" s="0" t="s">
        <v>50</v>
      </c>
      <c r="D118" s="0" t="s">
        <v>22</v>
      </c>
      <c r="E118" s="0" t="s">
        <v>4133</v>
      </c>
      <c r="F118" s="0" t="s">
        <v>3815</v>
      </c>
      <c r="G118" s="0" t="s">
        <v>99</v>
      </c>
      <c r="H118" s="0" t="s">
        <v>99</v>
      </c>
      <c r="I118" s="0" t="s">
        <v>100</v>
      </c>
      <c r="J118" s="0" t="s">
        <v>3842</v>
      </c>
      <c r="K118" s="0" t="s">
        <v>3843</v>
      </c>
      <c r="L118" s="0" t="s">
        <v>4129</v>
      </c>
      <c r="M118" s="0" t="s">
        <v>4130</v>
      </c>
      <c r="N118" s="0" t="s">
        <v>105</v>
      </c>
      <c r="O118" s="0" t="s">
        <v>99</v>
      </c>
      <c r="P118" s="0" t="s">
        <v>99</v>
      </c>
      <c r="Q118" s="0" t="s">
        <v>100</v>
      </c>
      <c r="R118" s="0" t="s">
        <v>3842</v>
      </c>
      <c r="S118" s="0" t="s">
        <v>3843</v>
      </c>
      <c r="T118" s="0" t="s">
        <v>3819</v>
      </c>
      <c r="U118" s="0" t="s">
        <v>3820</v>
      </c>
      <c r="V118" s="0" t="s">
        <v>713</v>
      </c>
      <c r="W118" s="0" t="s">
        <v>3807</v>
      </c>
      <c r="X118" s="0" t="s">
        <v>3821</v>
      </c>
      <c r="Y118" s="0" t="s">
        <v>3820</v>
      </c>
      <c r="Z118" s="0" t="s">
        <v>3846</v>
      </c>
      <c r="AA118" s="0" t="s">
        <v>3847</v>
      </c>
      <c r="AB118" s="0" t="s">
        <v>4131</v>
      </c>
      <c r="AC118" s="0" t="s">
        <v>64</v>
      </c>
      <c r="AD118" s="0" t="s">
        <v>19</v>
      </c>
      <c r="AE118" s="0" t="s">
        <v>19</v>
      </c>
      <c r="AF118" s="0" t="s">
        <v>3616</v>
      </c>
      <c r="AG118" s="0" t="s">
        <v>1846</v>
      </c>
      <c r="AH118" s="0" t="s">
        <v>22</v>
      </c>
      <c r="AI118" s="0" t="s">
        <v>22</v>
      </c>
      <c r="AJ118" s="0" t="s">
        <v>22</v>
      </c>
      <c r="AK118" s="0" t="s">
        <v>22</v>
      </c>
    </row>
    <row customHeight="1" ht="11.25">
      <c r="A119" s="0" t="s">
        <v>22</v>
      </c>
      <c r="B119" s="0" t="s">
        <v>48</v>
      </c>
      <c r="C119" s="0" t="s">
        <v>50</v>
      </c>
      <c r="D119" s="0" t="s">
        <v>22</v>
      </c>
      <c r="E119" s="0" t="s">
        <v>4133</v>
      </c>
      <c r="F119" s="0" t="s">
        <v>3815</v>
      </c>
      <c r="G119" s="0" t="s">
        <v>99</v>
      </c>
      <c r="H119" s="0" t="s">
        <v>99</v>
      </c>
      <c r="I119" s="0" t="s">
        <v>100</v>
      </c>
      <c r="J119" s="0" t="s">
        <v>3842</v>
      </c>
      <c r="K119" s="0" t="s">
        <v>3843</v>
      </c>
      <c r="L119" s="0" t="s">
        <v>4129</v>
      </c>
      <c r="M119" s="0" t="s">
        <v>4130</v>
      </c>
      <c r="N119" s="0" t="s">
        <v>105</v>
      </c>
      <c r="O119" s="0" t="s">
        <v>99</v>
      </c>
      <c r="P119" s="0" t="s">
        <v>99</v>
      </c>
      <c r="Q119" s="0" t="s">
        <v>100</v>
      </c>
      <c r="R119" s="0" t="s">
        <v>3842</v>
      </c>
      <c r="S119" s="0" t="s">
        <v>3843</v>
      </c>
      <c r="T119" s="0" t="s">
        <v>3819</v>
      </c>
      <c r="U119" s="0" t="s">
        <v>3820</v>
      </c>
      <c r="V119" s="0" t="s">
        <v>713</v>
      </c>
      <c r="W119" s="0" t="s">
        <v>3807</v>
      </c>
      <c r="X119" s="0" t="s">
        <v>3821</v>
      </c>
      <c r="Y119" s="0" t="s">
        <v>3820</v>
      </c>
      <c r="Z119" s="0" t="s">
        <v>3846</v>
      </c>
      <c r="AA119" s="0" t="s">
        <v>3847</v>
      </c>
      <c r="AB119" s="0" t="s">
        <v>4131</v>
      </c>
      <c r="AC119" s="0" t="s">
        <v>64</v>
      </c>
      <c r="AD119" s="0" t="s">
        <v>19</v>
      </c>
      <c r="AE119" s="0" t="s">
        <v>19</v>
      </c>
      <c r="AF119" s="0" t="s">
        <v>3616</v>
      </c>
      <c r="AG119" s="0" t="s">
        <v>1846</v>
      </c>
      <c r="AH119" s="0" t="s">
        <v>22</v>
      </c>
      <c r="AI119" s="0" t="s">
        <v>22</v>
      </c>
      <c r="AJ119" s="0" t="s">
        <v>22</v>
      </c>
      <c r="AK119" s="0" t="s">
        <v>22</v>
      </c>
    </row>
    <row customHeight="1" ht="11.25">
      <c r="A120" s="0" t="s">
        <v>22</v>
      </c>
      <c r="B120" s="0" t="s">
        <v>48</v>
      </c>
      <c r="C120" s="0" t="s">
        <v>50</v>
      </c>
      <c r="D120" s="0" t="s">
        <v>22</v>
      </c>
      <c r="E120" s="0" t="s">
        <v>4134</v>
      </c>
      <c r="F120" s="0" t="s">
        <v>3815</v>
      </c>
      <c r="G120" s="0" t="s">
        <v>99</v>
      </c>
      <c r="H120" s="0" t="s">
        <v>99</v>
      </c>
      <c r="I120" s="0" t="s">
        <v>100</v>
      </c>
      <c r="J120" s="0" t="s">
        <v>3842</v>
      </c>
      <c r="K120" s="0" t="s">
        <v>3843</v>
      </c>
      <c r="L120" s="0" t="s">
        <v>4129</v>
      </c>
      <c r="M120" s="0" t="s">
        <v>4130</v>
      </c>
      <c r="N120" s="0" t="s">
        <v>105</v>
      </c>
      <c r="O120" s="0" t="s">
        <v>99</v>
      </c>
      <c r="P120" s="0" t="s">
        <v>99</v>
      </c>
      <c r="Q120" s="0" t="s">
        <v>100</v>
      </c>
      <c r="R120" s="0" t="s">
        <v>3842</v>
      </c>
      <c r="S120" s="0" t="s">
        <v>3843</v>
      </c>
      <c r="T120" s="0" t="s">
        <v>3819</v>
      </c>
      <c r="U120" s="0" t="s">
        <v>3820</v>
      </c>
      <c r="V120" s="0" t="s">
        <v>713</v>
      </c>
      <c r="W120" s="0" t="s">
        <v>3807</v>
      </c>
      <c r="X120" s="0" t="s">
        <v>3821</v>
      </c>
      <c r="Y120" s="0" t="s">
        <v>3820</v>
      </c>
      <c r="Z120" s="0" t="s">
        <v>3846</v>
      </c>
      <c r="AA120" s="0" t="s">
        <v>3847</v>
      </c>
      <c r="AB120" s="0" t="s">
        <v>4131</v>
      </c>
      <c r="AC120" s="0" t="s">
        <v>64</v>
      </c>
      <c r="AD120" s="0" t="s">
        <v>19</v>
      </c>
      <c r="AE120" s="0" t="s">
        <v>19</v>
      </c>
      <c r="AF120" s="0" t="s">
        <v>4030</v>
      </c>
      <c r="AG120" s="0" t="s">
        <v>167</v>
      </c>
      <c r="AH120" s="0" t="s">
        <v>22</v>
      </c>
      <c r="AI120" s="0" t="s">
        <v>22</v>
      </c>
      <c r="AJ120" s="0" t="s">
        <v>22</v>
      </c>
      <c r="AK120" s="0" t="s">
        <v>22</v>
      </c>
    </row>
    <row customHeight="1" ht="11.25">
      <c r="A121" s="0" t="s">
        <v>22</v>
      </c>
      <c r="B121" s="0" t="s">
        <v>48</v>
      </c>
      <c r="C121" s="0" t="s">
        <v>50</v>
      </c>
      <c r="D121" s="0" t="s">
        <v>22</v>
      </c>
      <c r="E121" s="0" t="s">
        <v>4134</v>
      </c>
      <c r="F121" s="0" t="s">
        <v>3815</v>
      </c>
      <c r="G121" s="0" t="s">
        <v>99</v>
      </c>
      <c r="H121" s="0" t="s">
        <v>99</v>
      </c>
      <c r="I121" s="0" t="s">
        <v>100</v>
      </c>
      <c r="J121" s="0" t="s">
        <v>3842</v>
      </c>
      <c r="K121" s="0" t="s">
        <v>3843</v>
      </c>
      <c r="L121" s="0" t="s">
        <v>4129</v>
      </c>
      <c r="M121" s="0" t="s">
        <v>4130</v>
      </c>
      <c r="N121" s="0" t="s">
        <v>105</v>
      </c>
      <c r="O121" s="0" t="s">
        <v>99</v>
      </c>
      <c r="P121" s="0" t="s">
        <v>99</v>
      </c>
      <c r="Q121" s="0" t="s">
        <v>100</v>
      </c>
      <c r="R121" s="0" t="s">
        <v>3842</v>
      </c>
      <c r="S121" s="0" t="s">
        <v>3843</v>
      </c>
      <c r="T121" s="0" t="s">
        <v>3819</v>
      </c>
      <c r="U121" s="0" t="s">
        <v>3820</v>
      </c>
      <c r="V121" s="0" t="s">
        <v>713</v>
      </c>
      <c r="W121" s="0" t="s">
        <v>3807</v>
      </c>
      <c r="X121" s="0" t="s">
        <v>3821</v>
      </c>
      <c r="Y121" s="0" t="s">
        <v>3820</v>
      </c>
      <c r="Z121" s="0" t="s">
        <v>3846</v>
      </c>
      <c r="AA121" s="0" t="s">
        <v>3847</v>
      </c>
      <c r="AB121" s="0" t="s">
        <v>4131</v>
      </c>
      <c r="AC121" s="0" t="s">
        <v>64</v>
      </c>
      <c r="AD121" s="0" t="s">
        <v>19</v>
      </c>
      <c r="AE121" s="0" t="s">
        <v>19</v>
      </c>
      <c r="AF121" s="0" t="s">
        <v>4030</v>
      </c>
      <c r="AG121" s="0" t="s">
        <v>167</v>
      </c>
      <c r="AH121" s="0" t="s">
        <v>22</v>
      </c>
      <c r="AI121" s="0" t="s">
        <v>22</v>
      </c>
      <c r="AJ121" s="0" t="s">
        <v>22</v>
      </c>
      <c r="AK121" s="0" t="s">
        <v>22</v>
      </c>
    </row>
    <row customHeight="1" ht="11.25">
      <c r="A122" s="0" t="s">
        <v>22</v>
      </c>
      <c r="B122" s="0" t="s">
        <v>48</v>
      </c>
      <c r="C122" s="0" t="s">
        <v>50</v>
      </c>
      <c r="D122" s="0" t="s">
        <v>22</v>
      </c>
      <c r="E122" s="0" t="s">
        <v>4135</v>
      </c>
      <c r="F122" s="0" t="s">
        <v>1305</v>
      </c>
      <c r="G122" s="0" t="s">
        <v>127</v>
      </c>
      <c r="H122" s="0" t="s">
        <v>127</v>
      </c>
      <c r="I122" s="0" t="s">
        <v>128</v>
      </c>
      <c r="J122" s="0" t="s">
        <v>3967</v>
      </c>
      <c r="K122" s="0" t="s">
        <v>3968</v>
      </c>
      <c r="L122" s="0" t="s">
        <v>4136</v>
      </c>
      <c r="M122" s="0" t="s">
        <v>3818</v>
      </c>
      <c r="N122" s="0" t="s">
        <v>105</v>
      </c>
      <c r="O122" s="0" t="s">
        <v>127</v>
      </c>
      <c r="P122" s="0" t="s">
        <v>127</v>
      </c>
      <c r="Q122" s="0" t="s">
        <v>128</v>
      </c>
      <c r="R122" s="0" t="s">
        <v>3967</v>
      </c>
      <c r="S122" s="0" t="s">
        <v>3968</v>
      </c>
      <c r="T122" s="0" t="s">
        <v>3805</v>
      </c>
      <c r="U122" s="0" t="s">
        <v>3806</v>
      </c>
      <c r="V122" s="0" t="s">
        <v>713</v>
      </c>
      <c r="W122" s="0" t="s">
        <v>3807</v>
      </c>
      <c r="X122" s="0" t="s">
        <v>3854</v>
      </c>
      <c r="Y122" s="0" t="s">
        <v>3806</v>
      </c>
      <c r="Z122" s="0" t="s">
        <v>4137</v>
      </c>
      <c r="AA122" s="0" t="s">
        <v>3912</v>
      </c>
      <c r="AB122" s="0" t="s">
        <v>4138</v>
      </c>
      <c r="AC122" s="0" t="s">
        <v>64</v>
      </c>
      <c r="AD122" s="0" t="s">
        <v>19</v>
      </c>
      <c r="AE122" s="0" t="s">
        <v>64</v>
      </c>
      <c r="AF122" s="0" t="s">
        <v>4139</v>
      </c>
      <c r="AG122" s="0" t="s">
        <v>3975</v>
      </c>
      <c r="AH122" s="0" t="s">
        <v>22</v>
      </c>
      <c r="AI122" s="0" t="s">
        <v>22</v>
      </c>
      <c r="AJ122" s="0" t="s">
        <v>4140</v>
      </c>
      <c r="AK122" s="0" t="s">
        <v>3973</v>
      </c>
    </row>
    <row customHeight="1" ht="11.25">
      <c r="A123" s="0" t="s">
        <v>22</v>
      </c>
      <c r="B123" s="0" t="s">
        <v>48</v>
      </c>
      <c r="C123" s="0" t="s">
        <v>50</v>
      </c>
      <c r="D123" s="0" t="s">
        <v>22</v>
      </c>
      <c r="E123" s="0" t="s">
        <v>4135</v>
      </c>
      <c r="F123" s="0" t="s">
        <v>1305</v>
      </c>
      <c r="G123" s="0" t="s">
        <v>127</v>
      </c>
      <c r="H123" s="0" t="s">
        <v>127</v>
      </c>
      <c r="I123" s="0" t="s">
        <v>128</v>
      </c>
      <c r="J123" s="0" t="s">
        <v>3967</v>
      </c>
      <c r="K123" s="0" t="s">
        <v>3968</v>
      </c>
      <c r="L123" s="0" t="s">
        <v>4136</v>
      </c>
      <c r="M123" s="0" t="s">
        <v>3818</v>
      </c>
      <c r="N123" s="0" t="s">
        <v>105</v>
      </c>
      <c r="O123" s="0" t="s">
        <v>127</v>
      </c>
      <c r="P123" s="0" t="s">
        <v>127</v>
      </c>
      <c r="Q123" s="0" t="s">
        <v>128</v>
      </c>
      <c r="R123" s="0" t="s">
        <v>3967</v>
      </c>
      <c r="S123" s="0" t="s">
        <v>3968</v>
      </c>
      <c r="T123" s="0" t="s">
        <v>3805</v>
      </c>
      <c r="U123" s="0" t="s">
        <v>3806</v>
      </c>
      <c r="V123" s="0" t="s">
        <v>713</v>
      </c>
      <c r="W123" s="0" t="s">
        <v>3807</v>
      </c>
      <c r="X123" s="0" t="s">
        <v>3854</v>
      </c>
      <c r="Y123" s="0" t="s">
        <v>3806</v>
      </c>
      <c r="Z123" s="0" t="s">
        <v>4137</v>
      </c>
      <c r="AA123" s="0" t="s">
        <v>3912</v>
      </c>
      <c r="AB123" s="0" t="s">
        <v>4138</v>
      </c>
      <c r="AC123" s="0" t="s">
        <v>64</v>
      </c>
      <c r="AD123" s="0" t="s">
        <v>19</v>
      </c>
      <c r="AE123" s="0" t="s">
        <v>64</v>
      </c>
      <c r="AF123" s="0" t="s">
        <v>4139</v>
      </c>
      <c r="AG123" s="0" t="s">
        <v>3975</v>
      </c>
      <c r="AH123" s="0" t="s">
        <v>22</v>
      </c>
      <c r="AI123" s="0" t="s">
        <v>22</v>
      </c>
      <c r="AJ123" s="0" t="s">
        <v>4140</v>
      </c>
      <c r="AK123" s="0" t="s">
        <v>3973</v>
      </c>
    </row>
    <row customHeight="1" ht="11.25">
      <c r="A124" s="0" t="s">
        <v>22</v>
      </c>
      <c r="B124" s="0" t="s">
        <v>48</v>
      </c>
      <c r="C124" s="0" t="s">
        <v>50</v>
      </c>
      <c r="D124" s="0" t="s">
        <v>22</v>
      </c>
      <c r="E124" s="0" t="s">
        <v>4141</v>
      </c>
      <c r="F124" s="0" t="s">
        <v>1305</v>
      </c>
      <c r="G124" s="0" t="s">
        <v>136</v>
      </c>
      <c r="H124" s="0" t="s">
        <v>136</v>
      </c>
      <c r="I124" s="0" t="s">
        <v>137</v>
      </c>
      <c r="J124" s="0" t="s">
        <v>4033</v>
      </c>
      <c r="K124" s="0" t="s">
        <v>4034</v>
      </c>
      <c r="L124" s="0" t="s">
        <v>4142</v>
      </c>
      <c r="M124" s="0" t="s">
        <v>4143</v>
      </c>
      <c r="N124" s="0" t="s">
        <v>105</v>
      </c>
      <c r="O124" s="0" t="s">
        <v>136</v>
      </c>
      <c r="P124" s="0" t="s">
        <v>136</v>
      </c>
      <c r="Q124" s="0" t="s">
        <v>137</v>
      </c>
      <c r="R124" s="0" t="s">
        <v>4033</v>
      </c>
      <c r="S124" s="0" t="s">
        <v>4034</v>
      </c>
      <c r="T124" s="0" t="s">
        <v>3819</v>
      </c>
      <c r="U124" s="0" t="s">
        <v>3820</v>
      </c>
      <c r="V124" s="0" t="s">
        <v>713</v>
      </c>
      <c r="W124" s="0" t="s">
        <v>3807</v>
      </c>
      <c r="X124" s="0" t="s">
        <v>3821</v>
      </c>
      <c r="Y124" s="0" t="s">
        <v>3820</v>
      </c>
      <c r="Z124" s="0" t="s">
        <v>3976</v>
      </c>
      <c r="AA124" s="0" t="s">
        <v>3977</v>
      </c>
      <c r="AB124" s="0" t="s">
        <v>3978</v>
      </c>
      <c r="AC124" s="0" t="s">
        <v>64</v>
      </c>
      <c r="AD124" s="0" t="s">
        <v>19</v>
      </c>
      <c r="AE124" s="0" t="s">
        <v>64</v>
      </c>
      <c r="AF124" s="0" t="s">
        <v>292</v>
      </c>
      <c r="AG124" s="0" t="s">
        <v>4144</v>
      </c>
      <c r="AH124" s="0" t="s">
        <v>22</v>
      </c>
      <c r="AI124" s="0" t="s">
        <v>22</v>
      </c>
      <c r="AJ124" s="0" t="s">
        <v>292</v>
      </c>
      <c r="AK124" s="0" t="s">
        <v>4144</v>
      </c>
    </row>
    <row customHeight="1" ht="11.25">
      <c r="A125" s="0" t="s">
        <v>22</v>
      </c>
      <c r="B125" s="0" t="s">
        <v>48</v>
      </c>
      <c r="C125" s="0" t="s">
        <v>50</v>
      </c>
      <c r="D125" s="0" t="s">
        <v>22</v>
      </c>
      <c r="E125" s="0" t="s">
        <v>4141</v>
      </c>
      <c r="F125" s="0" t="s">
        <v>1305</v>
      </c>
      <c r="G125" s="0" t="s">
        <v>139</v>
      </c>
      <c r="H125" s="0" t="s">
        <v>3675</v>
      </c>
      <c r="I125" s="0" t="s">
        <v>3676</v>
      </c>
      <c r="J125" s="0" t="s">
        <v>4033</v>
      </c>
      <c r="K125" s="0" t="s">
        <v>4037</v>
      </c>
      <c r="L125" s="0" t="s">
        <v>4142</v>
      </c>
      <c r="M125" s="0" t="s">
        <v>4143</v>
      </c>
      <c r="N125" s="0" t="s">
        <v>105</v>
      </c>
      <c r="O125" s="0" t="s">
        <v>139</v>
      </c>
      <c r="P125" s="0" t="s">
        <v>3675</v>
      </c>
      <c r="Q125" s="0" t="s">
        <v>3676</v>
      </c>
      <c r="R125" s="0" t="s">
        <v>4033</v>
      </c>
      <c r="S125" s="0" t="s">
        <v>4037</v>
      </c>
      <c r="T125" s="0" t="s">
        <v>3819</v>
      </c>
      <c r="U125" s="0" t="s">
        <v>3820</v>
      </c>
      <c r="V125" s="0" t="s">
        <v>713</v>
      </c>
      <c r="W125" s="0" t="s">
        <v>3807</v>
      </c>
      <c r="X125" s="0" t="s">
        <v>3821</v>
      </c>
      <c r="Y125" s="0" t="s">
        <v>3820</v>
      </c>
      <c r="Z125" s="0" t="s">
        <v>3976</v>
      </c>
      <c r="AA125" s="0" t="s">
        <v>3977</v>
      </c>
      <c r="AB125" s="0" t="s">
        <v>3978</v>
      </c>
      <c r="AC125" s="0" t="s">
        <v>64</v>
      </c>
      <c r="AD125" s="0" t="s">
        <v>19</v>
      </c>
      <c r="AE125" s="0" t="s">
        <v>64</v>
      </c>
      <c r="AF125" s="0" t="s">
        <v>292</v>
      </c>
      <c r="AG125" s="0" t="s">
        <v>4144</v>
      </c>
      <c r="AH125" s="0" t="s">
        <v>22</v>
      </c>
      <c r="AI125" s="0" t="s">
        <v>22</v>
      </c>
      <c r="AJ125" s="0" t="s">
        <v>292</v>
      </c>
      <c r="AK125" s="0" t="s">
        <v>4144</v>
      </c>
    </row>
    <row customHeight="1" ht="11.25">
      <c r="A126" s="0" t="s">
        <v>22</v>
      </c>
      <c r="B126" s="0" t="s">
        <v>48</v>
      </c>
      <c r="C126" s="0" t="s">
        <v>50</v>
      </c>
      <c r="D126" s="0" t="s">
        <v>22</v>
      </c>
      <c r="E126" s="0" t="s">
        <v>4145</v>
      </c>
      <c r="F126" s="0" t="s">
        <v>1305</v>
      </c>
      <c r="G126" s="0" t="s">
        <v>1306</v>
      </c>
      <c r="H126" s="0" t="s">
        <v>1306</v>
      </c>
      <c r="I126" s="0" t="s">
        <v>1307</v>
      </c>
      <c r="J126" s="0" t="s">
        <v>1308</v>
      </c>
      <c r="K126" s="0" t="s">
        <v>1309</v>
      </c>
      <c r="L126" s="0" t="s">
        <v>4146</v>
      </c>
      <c r="M126" s="0" t="s">
        <v>4147</v>
      </c>
      <c r="N126" s="0" t="s">
        <v>105</v>
      </c>
      <c r="O126" s="0" t="s">
        <v>1306</v>
      </c>
      <c r="P126" s="0" t="s">
        <v>1306</v>
      </c>
      <c r="Q126" s="0" t="s">
        <v>1307</v>
      </c>
      <c r="R126" s="0" t="s">
        <v>1308</v>
      </c>
      <c r="S126" s="0" t="s">
        <v>1309</v>
      </c>
      <c r="T126" s="0" t="s">
        <v>3819</v>
      </c>
      <c r="U126" s="0" t="s">
        <v>3820</v>
      </c>
      <c r="V126" s="0" t="s">
        <v>713</v>
      </c>
      <c r="W126" s="0" t="s">
        <v>3807</v>
      </c>
      <c r="X126" s="0" t="s">
        <v>3821</v>
      </c>
      <c r="Y126" s="0" t="s">
        <v>3820</v>
      </c>
      <c r="Z126" s="0" t="s">
        <v>3882</v>
      </c>
      <c r="AA126" s="0" t="s">
        <v>3883</v>
      </c>
      <c r="AB126" s="0" t="s">
        <v>3840</v>
      </c>
      <c r="AC126" s="0" t="s">
        <v>64</v>
      </c>
      <c r="AD126" s="0" t="s">
        <v>19</v>
      </c>
      <c r="AE126" s="0" t="s">
        <v>64</v>
      </c>
      <c r="AF126" s="0" t="s">
        <v>155</v>
      </c>
      <c r="AG126" s="0" t="s">
        <v>514</v>
      </c>
      <c r="AH126" s="0" t="s">
        <v>22</v>
      </c>
      <c r="AI126" s="0" t="s">
        <v>22</v>
      </c>
      <c r="AJ126" s="0" t="s">
        <v>155</v>
      </c>
      <c r="AK126" s="0" t="s">
        <v>514</v>
      </c>
    </row>
    <row customHeight="1" ht="11.25">
      <c r="A127" s="0" t="s">
        <v>22</v>
      </c>
      <c r="B127" s="0" t="s">
        <v>48</v>
      </c>
      <c r="C127" s="0" t="s">
        <v>50</v>
      </c>
      <c r="D127" s="0" t="s">
        <v>22</v>
      </c>
      <c r="E127" s="0" t="s">
        <v>4145</v>
      </c>
      <c r="F127" s="0" t="s">
        <v>1305</v>
      </c>
      <c r="G127" s="0" t="s">
        <v>110</v>
      </c>
      <c r="H127" s="0" t="s">
        <v>111</v>
      </c>
      <c r="I127" s="0" t="s">
        <v>112</v>
      </c>
      <c r="J127" s="0" t="s">
        <v>1308</v>
      </c>
      <c r="K127" s="0" t="s">
        <v>3885</v>
      </c>
      <c r="L127" s="0" t="s">
        <v>4146</v>
      </c>
      <c r="M127" s="0" t="s">
        <v>4147</v>
      </c>
      <c r="N127" s="0" t="s">
        <v>105</v>
      </c>
      <c r="O127" s="0" t="s">
        <v>110</v>
      </c>
      <c r="P127" s="0" t="s">
        <v>111</v>
      </c>
      <c r="Q127" s="0" t="s">
        <v>112</v>
      </c>
      <c r="R127" s="0" t="s">
        <v>1308</v>
      </c>
      <c r="S127" s="0" t="s">
        <v>3885</v>
      </c>
      <c r="T127" s="0" t="s">
        <v>3819</v>
      </c>
      <c r="U127" s="0" t="s">
        <v>3820</v>
      </c>
      <c r="V127" s="0" t="s">
        <v>713</v>
      </c>
      <c r="W127" s="0" t="s">
        <v>3807</v>
      </c>
      <c r="X127" s="0" t="s">
        <v>3821</v>
      </c>
      <c r="Y127" s="0" t="s">
        <v>3820</v>
      </c>
      <c r="Z127" s="0" t="s">
        <v>3882</v>
      </c>
      <c r="AA127" s="0" t="s">
        <v>3883</v>
      </c>
      <c r="AB127" s="0" t="s">
        <v>3840</v>
      </c>
      <c r="AC127" s="0" t="s">
        <v>64</v>
      </c>
      <c r="AD127" s="0" t="s">
        <v>19</v>
      </c>
      <c r="AE127" s="0" t="s">
        <v>64</v>
      </c>
      <c r="AF127" s="0" t="s">
        <v>155</v>
      </c>
      <c r="AG127" s="0" t="s">
        <v>514</v>
      </c>
      <c r="AH127" s="0" t="s">
        <v>22</v>
      </c>
      <c r="AI127" s="0" t="s">
        <v>22</v>
      </c>
      <c r="AJ127" s="0" t="s">
        <v>155</v>
      </c>
      <c r="AK127" s="0" t="s">
        <v>514</v>
      </c>
    </row>
    <row customHeight="1" ht="11.25">
      <c r="A128" s="0" t="s">
        <v>22</v>
      </c>
      <c r="B128" s="0" t="s">
        <v>48</v>
      </c>
      <c r="C128" s="0" t="s">
        <v>50</v>
      </c>
      <c r="D128" s="0" t="s">
        <v>22</v>
      </c>
      <c r="E128" s="0" t="s">
        <v>4148</v>
      </c>
      <c r="F128" s="0" t="s">
        <v>1305</v>
      </c>
      <c r="G128" s="0" t="s">
        <v>127</v>
      </c>
      <c r="H128" s="0" t="s">
        <v>127</v>
      </c>
      <c r="I128" s="0" t="s">
        <v>128</v>
      </c>
      <c r="J128" s="0" t="s">
        <v>4149</v>
      </c>
      <c r="K128" s="0" t="s">
        <v>4150</v>
      </c>
      <c r="L128" s="0" t="s">
        <v>4151</v>
      </c>
      <c r="M128" s="0" t="s">
        <v>293</v>
      </c>
      <c r="N128" s="0" t="s">
        <v>105</v>
      </c>
      <c r="O128" s="0" t="s">
        <v>127</v>
      </c>
      <c r="P128" s="0" t="s">
        <v>127</v>
      </c>
      <c r="Q128" s="0" t="s">
        <v>128</v>
      </c>
      <c r="R128" s="0" t="s">
        <v>4149</v>
      </c>
      <c r="S128" s="0" t="s">
        <v>4150</v>
      </c>
      <c r="T128" s="0" t="s">
        <v>3805</v>
      </c>
      <c r="U128" s="0" t="s">
        <v>3806</v>
      </c>
      <c r="V128" s="0" t="s">
        <v>713</v>
      </c>
      <c r="W128" s="0" t="s">
        <v>3807</v>
      </c>
      <c r="X128" s="0" t="s">
        <v>3854</v>
      </c>
      <c r="Y128" s="0" t="s">
        <v>3806</v>
      </c>
      <c r="Z128" s="0" t="s">
        <v>4152</v>
      </c>
      <c r="AA128" s="0" t="s">
        <v>3912</v>
      </c>
      <c r="AB128" s="0" t="s">
        <v>4153</v>
      </c>
      <c r="AC128" s="0" t="s">
        <v>64</v>
      </c>
      <c r="AD128" s="0" t="s">
        <v>19</v>
      </c>
      <c r="AE128" s="0" t="s">
        <v>64</v>
      </c>
      <c r="AF128" s="0" t="s">
        <v>1887</v>
      </c>
      <c r="AG128" s="0" t="s">
        <v>4154</v>
      </c>
      <c r="AH128" s="0" t="s">
        <v>22</v>
      </c>
      <c r="AI128" s="0" t="s">
        <v>22</v>
      </c>
      <c r="AJ128" s="0" t="s">
        <v>1887</v>
      </c>
      <c r="AK128" s="0" t="s">
        <v>4154</v>
      </c>
    </row>
    <row customHeight="1" ht="11.25">
      <c r="A129" s="0" t="s">
        <v>22</v>
      </c>
      <c r="B129" s="0" t="s">
        <v>48</v>
      </c>
      <c r="C129" s="0" t="s">
        <v>50</v>
      </c>
      <c r="D129" s="0" t="s">
        <v>22</v>
      </c>
      <c r="E129" s="0" t="s">
        <v>4148</v>
      </c>
      <c r="F129" s="0" t="s">
        <v>1305</v>
      </c>
      <c r="G129" s="0" t="s">
        <v>127</v>
      </c>
      <c r="H129" s="0" t="s">
        <v>127</v>
      </c>
      <c r="I129" s="0" t="s">
        <v>128</v>
      </c>
      <c r="J129" s="0" t="s">
        <v>4149</v>
      </c>
      <c r="K129" s="0" t="s">
        <v>4150</v>
      </c>
      <c r="L129" s="0" t="s">
        <v>4151</v>
      </c>
      <c r="M129" s="0" t="s">
        <v>293</v>
      </c>
      <c r="N129" s="0" t="s">
        <v>105</v>
      </c>
      <c r="O129" s="0" t="s">
        <v>127</v>
      </c>
      <c r="P129" s="0" t="s">
        <v>127</v>
      </c>
      <c r="Q129" s="0" t="s">
        <v>128</v>
      </c>
      <c r="R129" s="0" t="s">
        <v>4149</v>
      </c>
      <c r="S129" s="0" t="s">
        <v>4150</v>
      </c>
      <c r="T129" s="0" t="s">
        <v>3805</v>
      </c>
      <c r="U129" s="0" t="s">
        <v>3806</v>
      </c>
      <c r="V129" s="0" t="s">
        <v>713</v>
      </c>
      <c r="W129" s="0" t="s">
        <v>3807</v>
      </c>
      <c r="X129" s="0" t="s">
        <v>3854</v>
      </c>
      <c r="Y129" s="0" t="s">
        <v>3806</v>
      </c>
      <c r="Z129" s="0" t="s">
        <v>4152</v>
      </c>
      <c r="AA129" s="0" t="s">
        <v>3912</v>
      </c>
      <c r="AB129" s="0" t="s">
        <v>4153</v>
      </c>
      <c r="AC129" s="0" t="s">
        <v>64</v>
      </c>
      <c r="AD129" s="0" t="s">
        <v>19</v>
      </c>
      <c r="AE129" s="0" t="s">
        <v>64</v>
      </c>
      <c r="AF129" s="0" t="s">
        <v>1887</v>
      </c>
      <c r="AG129" s="0" t="s">
        <v>4154</v>
      </c>
      <c r="AH129" s="0" t="s">
        <v>22</v>
      </c>
      <c r="AI129" s="0" t="s">
        <v>22</v>
      </c>
      <c r="AJ129" s="0" t="s">
        <v>1887</v>
      </c>
      <c r="AK129" s="0" t="s">
        <v>4154</v>
      </c>
    </row>
    <row customHeight="1" ht="11.25">
      <c r="A130" s="0" t="s">
        <v>22</v>
      </c>
      <c r="B130" s="0" t="s">
        <v>48</v>
      </c>
      <c r="C130" s="0" t="s">
        <v>50</v>
      </c>
      <c r="D130" s="0" t="s">
        <v>22</v>
      </c>
      <c r="E130" s="0" t="s">
        <v>4155</v>
      </c>
      <c r="F130" s="0" t="s">
        <v>1305</v>
      </c>
      <c r="G130" s="0" t="s">
        <v>127</v>
      </c>
      <c r="H130" s="0" t="s">
        <v>127</v>
      </c>
      <c r="I130" s="0" t="s">
        <v>128</v>
      </c>
      <c r="J130" s="0" t="s">
        <v>4156</v>
      </c>
      <c r="K130" s="0" t="s">
        <v>4157</v>
      </c>
      <c r="L130" s="0" t="s">
        <v>4158</v>
      </c>
      <c r="M130" s="0" t="s">
        <v>3818</v>
      </c>
      <c r="N130" s="0" t="s">
        <v>105</v>
      </c>
      <c r="O130" s="0" t="s">
        <v>127</v>
      </c>
      <c r="P130" s="0" t="s">
        <v>127</v>
      </c>
      <c r="Q130" s="0" t="s">
        <v>128</v>
      </c>
      <c r="R130" s="0" t="s">
        <v>4156</v>
      </c>
      <c r="S130" s="0" t="s">
        <v>4157</v>
      </c>
      <c r="T130" s="0" t="s">
        <v>3805</v>
      </c>
      <c r="U130" s="0" t="s">
        <v>3806</v>
      </c>
      <c r="V130" s="0" t="s">
        <v>713</v>
      </c>
      <c r="W130" s="0" t="s">
        <v>3807</v>
      </c>
      <c r="X130" s="0" t="s">
        <v>3808</v>
      </c>
      <c r="Y130" s="0" t="s">
        <v>3806</v>
      </c>
      <c r="Z130" s="0" t="s">
        <v>4159</v>
      </c>
      <c r="AA130" s="0" t="s">
        <v>4160</v>
      </c>
      <c r="AB130" s="0" t="s">
        <v>4161</v>
      </c>
      <c r="AC130" s="0" t="s">
        <v>64</v>
      </c>
      <c r="AD130" s="0" t="s">
        <v>19</v>
      </c>
      <c r="AE130" s="0" t="s">
        <v>64</v>
      </c>
      <c r="AF130" s="0" t="s">
        <v>911</v>
      </c>
      <c r="AG130" s="0" t="s">
        <v>911</v>
      </c>
      <c r="AH130" s="0" t="s">
        <v>22</v>
      </c>
      <c r="AI130" s="0" t="s">
        <v>22</v>
      </c>
      <c r="AJ130" s="0" t="s">
        <v>911</v>
      </c>
      <c r="AK130" s="0" t="s">
        <v>911</v>
      </c>
    </row>
    <row customHeight="1" ht="11.25">
      <c r="A131" s="0" t="s">
        <v>22</v>
      </c>
      <c r="B131" s="0" t="s">
        <v>48</v>
      </c>
      <c r="C131" s="0" t="s">
        <v>50</v>
      </c>
      <c r="D131" s="0" t="s">
        <v>22</v>
      </c>
      <c r="E131" s="0" t="s">
        <v>4155</v>
      </c>
      <c r="F131" s="0" t="s">
        <v>1305</v>
      </c>
      <c r="G131" s="0" t="s">
        <v>127</v>
      </c>
      <c r="H131" s="0" t="s">
        <v>127</v>
      </c>
      <c r="I131" s="0" t="s">
        <v>128</v>
      </c>
      <c r="J131" s="0" t="s">
        <v>4156</v>
      </c>
      <c r="K131" s="0" t="s">
        <v>4157</v>
      </c>
      <c r="L131" s="0" t="s">
        <v>4158</v>
      </c>
      <c r="M131" s="0" t="s">
        <v>3818</v>
      </c>
      <c r="N131" s="0" t="s">
        <v>105</v>
      </c>
      <c r="O131" s="0" t="s">
        <v>127</v>
      </c>
      <c r="P131" s="0" t="s">
        <v>127</v>
      </c>
      <c r="Q131" s="0" t="s">
        <v>128</v>
      </c>
      <c r="R131" s="0" t="s">
        <v>4156</v>
      </c>
      <c r="S131" s="0" t="s">
        <v>4157</v>
      </c>
      <c r="T131" s="0" t="s">
        <v>3805</v>
      </c>
      <c r="U131" s="0" t="s">
        <v>3806</v>
      </c>
      <c r="V131" s="0" t="s">
        <v>713</v>
      </c>
      <c r="W131" s="0" t="s">
        <v>3807</v>
      </c>
      <c r="X131" s="0" t="s">
        <v>3808</v>
      </c>
      <c r="Y131" s="0" t="s">
        <v>3806</v>
      </c>
      <c r="Z131" s="0" t="s">
        <v>4159</v>
      </c>
      <c r="AA131" s="0" t="s">
        <v>4160</v>
      </c>
      <c r="AB131" s="0" t="s">
        <v>4161</v>
      </c>
      <c r="AC131" s="0" t="s">
        <v>64</v>
      </c>
      <c r="AD131" s="0" t="s">
        <v>19</v>
      </c>
      <c r="AE131" s="0" t="s">
        <v>64</v>
      </c>
      <c r="AF131" s="0" t="s">
        <v>911</v>
      </c>
      <c r="AG131" s="0" t="s">
        <v>911</v>
      </c>
      <c r="AH131" s="0" t="s">
        <v>22</v>
      </c>
      <c r="AI131" s="0" t="s">
        <v>22</v>
      </c>
      <c r="AJ131" s="0" t="s">
        <v>911</v>
      </c>
      <c r="AK131" s="0" t="s">
        <v>911</v>
      </c>
    </row>
    <row customHeight="1" ht="11.25">
      <c r="A132" s="0" t="s">
        <v>22</v>
      </c>
      <c r="B132" s="0" t="s">
        <v>48</v>
      </c>
      <c r="C132" s="0" t="s">
        <v>50</v>
      </c>
      <c r="D132" s="0" t="s">
        <v>22</v>
      </c>
      <c r="E132" s="0" t="s">
        <v>4162</v>
      </c>
      <c r="F132" s="0" t="s">
        <v>3815</v>
      </c>
      <c r="G132" s="0" t="s">
        <v>118</v>
      </c>
      <c r="H132" s="0" t="s">
        <v>118</v>
      </c>
      <c r="I132" s="0" t="s">
        <v>119</v>
      </c>
      <c r="J132" s="0" t="s">
        <v>3850</v>
      </c>
      <c r="K132" s="0" t="s">
        <v>3851</v>
      </c>
      <c r="L132" s="0" t="s">
        <v>3818</v>
      </c>
      <c r="M132" s="0" t="s">
        <v>3818</v>
      </c>
      <c r="N132" s="0" t="s">
        <v>105</v>
      </c>
      <c r="O132" s="0" t="s">
        <v>3853</v>
      </c>
      <c r="P132" s="0" t="s">
        <v>3853</v>
      </c>
      <c r="Q132" s="0" t="s">
        <v>119</v>
      </c>
      <c r="R132" s="0" t="s">
        <v>3850</v>
      </c>
      <c r="S132" s="0" t="s">
        <v>3851</v>
      </c>
      <c r="T132" s="0" t="s">
        <v>3805</v>
      </c>
      <c r="U132" s="0" t="s">
        <v>3806</v>
      </c>
      <c r="V132" s="0" t="s">
        <v>713</v>
      </c>
      <c r="W132" s="0" t="s">
        <v>3807</v>
      </c>
      <c r="X132" s="0" t="s">
        <v>3808</v>
      </c>
      <c r="Y132" s="0" t="s">
        <v>3806</v>
      </c>
      <c r="Z132" s="0" t="s">
        <v>3952</v>
      </c>
      <c r="AA132" s="0" t="s">
        <v>3953</v>
      </c>
      <c r="AB132" s="0" t="s">
        <v>3840</v>
      </c>
      <c r="AC132" s="0" t="s">
        <v>64</v>
      </c>
      <c r="AD132" s="0" t="s">
        <v>19</v>
      </c>
      <c r="AE132" s="0" t="s">
        <v>19</v>
      </c>
      <c r="AF132" s="0" t="s">
        <v>4163</v>
      </c>
      <c r="AG132" s="0" t="s">
        <v>514</v>
      </c>
      <c r="AH132" s="0" t="s">
        <v>22</v>
      </c>
      <c r="AI132" s="0" t="s">
        <v>22</v>
      </c>
      <c r="AJ132" s="0" t="s">
        <v>22</v>
      </c>
      <c r="AK132" s="0" t="s">
        <v>22</v>
      </c>
    </row>
    <row customHeight="1" ht="11.25">
      <c r="A133" s="0" t="s">
        <v>22</v>
      </c>
      <c r="B133" s="0" t="s">
        <v>48</v>
      </c>
      <c r="C133" s="0" t="s">
        <v>50</v>
      </c>
      <c r="D133" s="0" t="s">
        <v>22</v>
      </c>
      <c r="E133" s="0" t="s">
        <v>4162</v>
      </c>
      <c r="F133" s="0" t="s">
        <v>3815</v>
      </c>
      <c r="G133" s="0" t="s">
        <v>118</v>
      </c>
      <c r="H133" s="0" t="s">
        <v>118</v>
      </c>
      <c r="I133" s="0" t="s">
        <v>119</v>
      </c>
      <c r="J133" s="0" t="s">
        <v>3850</v>
      </c>
      <c r="K133" s="0" t="s">
        <v>3851</v>
      </c>
      <c r="L133" s="0" t="s">
        <v>3818</v>
      </c>
      <c r="M133" s="0" t="s">
        <v>3818</v>
      </c>
      <c r="N133" s="0" t="s">
        <v>105</v>
      </c>
      <c r="O133" s="0" t="s">
        <v>3853</v>
      </c>
      <c r="P133" s="0" t="s">
        <v>3853</v>
      </c>
      <c r="Q133" s="0" t="s">
        <v>119</v>
      </c>
      <c r="R133" s="0" t="s">
        <v>3850</v>
      </c>
      <c r="S133" s="0" t="s">
        <v>3851</v>
      </c>
      <c r="T133" s="0" t="s">
        <v>3805</v>
      </c>
      <c r="U133" s="0" t="s">
        <v>3806</v>
      </c>
      <c r="V133" s="0" t="s">
        <v>713</v>
      </c>
      <c r="W133" s="0" t="s">
        <v>3807</v>
      </c>
      <c r="X133" s="0" t="s">
        <v>3808</v>
      </c>
      <c r="Y133" s="0" t="s">
        <v>3806</v>
      </c>
      <c r="Z133" s="0" t="s">
        <v>3952</v>
      </c>
      <c r="AA133" s="0" t="s">
        <v>3953</v>
      </c>
      <c r="AB133" s="0" t="s">
        <v>3840</v>
      </c>
      <c r="AC133" s="0" t="s">
        <v>64</v>
      </c>
      <c r="AD133" s="0" t="s">
        <v>19</v>
      </c>
      <c r="AE133" s="0" t="s">
        <v>19</v>
      </c>
      <c r="AF133" s="0" t="s">
        <v>4163</v>
      </c>
      <c r="AG133" s="0" t="s">
        <v>514</v>
      </c>
      <c r="AH133" s="0" t="s">
        <v>22</v>
      </c>
      <c r="AI133" s="0" t="s">
        <v>22</v>
      </c>
      <c r="AJ133" s="0" t="s">
        <v>22</v>
      </c>
      <c r="AK133" s="0" t="s">
        <v>22</v>
      </c>
    </row>
    <row customHeight="1" ht="11.25">
      <c r="A134" s="0" t="s">
        <v>22</v>
      </c>
      <c r="B134" s="0" t="s">
        <v>48</v>
      </c>
      <c r="C134" s="0" t="s">
        <v>50</v>
      </c>
      <c r="D134" s="0" t="s">
        <v>22</v>
      </c>
      <c r="E134" s="0" t="s">
        <v>4164</v>
      </c>
      <c r="F134" s="0" t="s">
        <v>1305</v>
      </c>
      <c r="G134" s="0" t="s">
        <v>131</v>
      </c>
      <c r="H134" s="0" t="s">
        <v>131</v>
      </c>
      <c r="I134" s="0" t="s">
        <v>132</v>
      </c>
      <c r="J134" s="0" t="s">
        <v>4089</v>
      </c>
      <c r="K134" s="0" t="s">
        <v>4090</v>
      </c>
      <c r="L134" s="0" t="s">
        <v>4165</v>
      </c>
      <c r="M134" s="0" t="s">
        <v>4166</v>
      </c>
      <c r="N134" s="0" t="s">
        <v>105</v>
      </c>
      <c r="O134" s="0" t="s">
        <v>131</v>
      </c>
      <c r="P134" s="0" t="s">
        <v>131</v>
      </c>
      <c r="Q134" s="0" t="s">
        <v>132</v>
      </c>
      <c r="R134" s="0" t="s">
        <v>4089</v>
      </c>
      <c r="S134" s="0" t="s">
        <v>4090</v>
      </c>
      <c r="T134" s="0" t="s">
        <v>3819</v>
      </c>
      <c r="U134" s="0" t="s">
        <v>3820</v>
      </c>
      <c r="V134" s="0" t="s">
        <v>713</v>
      </c>
      <c r="W134" s="0" t="s">
        <v>3807</v>
      </c>
      <c r="X134" s="0" t="s">
        <v>3821</v>
      </c>
      <c r="Y134" s="0" t="s">
        <v>3820</v>
      </c>
      <c r="Z134" s="0" t="s">
        <v>3838</v>
      </c>
      <c r="AA134" s="0" t="s">
        <v>3839</v>
      </c>
      <c r="AB134" s="0" t="s">
        <v>3840</v>
      </c>
      <c r="AC134" s="0" t="s">
        <v>64</v>
      </c>
      <c r="AD134" s="0" t="s">
        <v>19</v>
      </c>
      <c r="AE134" s="0" t="s">
        <v>64</v>
      </c>
      <c r="AF134" s="0" t="s">
        <v>1887</v>
      </c>
      <c r="AG134" s="0" t="s">
        <v>4167</v>
      </c>
      <c r="AH134" s="0" t="s">
        <v>22</v>
      </c>
      <c r="AI134" s="0" t="s">
        <v>22</v>
      </c>
      <c r="AJ134" s="0" t="s">
        <v>1887</v>
      </c>
      <c r="AK134" s="0" t="s">
        <v>4167</v>
      </c>
    </row>
    <row customHeight="1" ht="11.25">
      <c r="A135" s="0" t="s">
        <v>22</v>
      </c>
      <c r="B135" s="0" t="s">
        <v>48</v>
      </c>
      <c r="C135" s="0" t="s">
        <v>50</v>
      </c>
      <c r="D135" s="0" t="s">
        <v>22</v>
      </c>
      <c r="E135" s="0" t="s">
        <v>4164</v>
      </c>
      <c r="F135" s="0" t="s">
        <v>1305</v>
      </c>
      <c r="G135" s="0" t="s">
        <v>131</v>
      </c>
      <c r="H135" s="0" t="s">
        <v>131</v>
      </c>
      <c r="I135" s="0" t="s">
        <v>132</v>
      </c>
      <c r="J135" s="0" t="s">
        <v>4089</v>
      </c>
      <c r="K135" s="0" t="s">
        <v>4090</v>
      </c>
      <c r="L135" s="0" t="s">
        <v>4165</v>
      </c>
      <c r="M135" s="0" t="s">
        <v>4166</v>
      </c>
      <c r="N135" s="0" t="s">
        <v>105</v>
      </c>
      <c r="O135" s="0" t="s">
        <v>131</v>
      </c>
      <c r="P135" s="0" t="s">
        <v>131</v>
      </c>
      <c r="Q135" s="0" t="s">
        <v>132</v>
      </c>
      <c r="R135" s="0" t="s">
        <v>4089</v>
      </c>
      <c r="S135" s="0" t="s">
        <v>4090</v>
      </c>
      <c r="T135" s="0" t="s">
        <v>3819</v>
      </c>
      <c r="U135" s="0" t="s">
        <v>3820</v>
      </c>
      <c r="V135" s="0" t="s">
        <v>713</v>
      </c>
      <c r="W135" s="0" t="s">
        <v>3807</v>
      </c>
      <c r="X135" s="0" t="s">
        <v>3821</v>
      </c>
      <c r="Y135" s="0" t="s">
        <v>3820</v>
      </c>
      <c r="Z135" s="0" t="s">
        <v>3838</v>
      </c>
      <c r="AA135" s="0" t="s">
        <v>3839</v>
      </c>
      <c r="AB135" s="0" t="s">
        <v>3840</v>
      </c>
      <c r="AC135" s="0" t="s">
        <v>64</v>
      </c>
      <c r="AD135" s="0" t="s">
        <v>19</v>
      </c>
      <c r="AE135" s="0" t="s">
        <v>64</v>
      </c>
      <c r="AF135" s="0" t="s">
        <v>1887</v>
      </c>
      <c r="AG135" s="0" t="s">
        <v>4167</v>
      </c>
      <c r="AH135" s="0" t="s">
        <v>22</v>
      </c>
      <c r="AI135" s="0" t="s">
        <v>22</v>
      </c>
      <c r="AJ135" s="0" t="s">
        <v>1887</v>
      </c>
      <c r="AK135" s="0" t="s">
        <v>4167</v>
      </c>
    </row>
    <row customHeight="1" ht="11.25">
      <c r="A136" s="0" t="s">
        <v>22</v>
      </c>
      <c r="B136" s="0" t="s">
        <v>48</v>
      </c>
      <c r="C136" s="0" t="s">
        <v>50</v>
      </c>
      <c r="D136" s="0" t="s">
        <v>22</v>
      </c>
      <c r="E136" s="0" t="s">
        <v>4168</v>
      </c>
      <c r="F136" s="0" t="s">
        <v>1305</v>
      </c>
      <c r="G136" s="0" t="s">
        <v>127</v>
      </c>
      <c r="H136" s="0" t="s">
        <v>127</v>
      </c>
      <c r="I136" s="0" t="s">
        <v>128</v>
      </c>
      <c r="J136" s="0" t="s">
        <v>3958</v>
      </c>
      <c r="K136" s="0" t="s">
        <v>3959</v>
      </c>
      <c r="L136" s="0" t="s">
        <v>4169</v>
      </c>
      <c r="M136" s="0" t="s">
        <v>109</v>
      </c>
      <c r="N136" s="0" t="s">
        <v>105</v>
      </c>
      <c r="O136" s="0" t="s">
        <v>127</v>
      </c>
      <c r="P136" s="0" t="s">
        <v>127</v>
      </c>
      <c r="Q136" s="0" t="s">
        <v>128</v>
      </c>
      <c r="R136" s="0" t="s">
        <v>3958</v>
      </c>
      <c r="S136" s="0" t="s">
        <v>3959</v>
      </c>
      <c r="T136" s="0" t="s">
        <v>3805</v>
      </c>
      <c r="U136" s="0" t="s">
        <v>3806</v>
      </c>
      <c r="V136" s="0" t="s">
        <v>713</v>
      </c>
      <c r="W136" s="0" t="s">
        <v>3807</v>
      </c>
      <c r="X136" s="0" t="s">
        <v>3854</v>
      </c>
      <c r="Y136" s="0" t="s">
        <v>3806</v>
      </c>
      <c r="Z136" s="0" t="s">
        <v>4170</v>
      </c>
      <c r="AA136" s="0" t="s">
        <v>3912</v>
      </c>
      <c r="AB136" s="0" t="s">
        <v>4171</v>
      </c>
      <c r="AC136" s="0" t="s">
        <v>64</v>
      </c>
      <c r="AD136" s="0" t="s">
        <v>19</v>
      </c>
      <c r="AE136" s="0" t="s">
        <v>64</v>
      </c>
      <c r="AF136" s="0" t="s">
        <v>4098</v>
      </c>
      <c r="AG136" s="0" t="s">
        <v>3660</v>
      </c>
      <c r="AH136" s="0" t="s">
        <v>22</v>
      </c>
      <c r="AI136" s="0" t="s">
        <v>22</v>
      </c>
      <c r="AJ136" s="0" t="s">
        <v>4172</v>
      </c>
      <c r="AK136" s="0" t="s">
        <v>3660</v>
      </c>
    </row>
    <row customHeight="1" ht="11.25">
      <c r="A137" s="0" t="s">
        <v>22</v>
      </c>
      <c r="B137" s="0" t="s">
        <v>48</v>
      </c>
      <c r="C137" s="0" t="s">
        <v>50</v>
      </c>
      <c r="D137" s="0" t="s">
        <v>22</v>
      </c>
      <c r="E137" s="0" t="s">
        <v>4168</v>
      </c>
      <c r="F137" s="0" t="s">
        <v>1305</v>
      </c>
      <c r="G137" s="0" t="s">
        <v>127</v>
      </c>
      <c r="H137" s="0" t="s">
        <v>127</v>
      </c>
      <c r="I137" s="0" t="s">
        <v>128</v>
      </c>
      <c r="J137" s="0" t="s">
        <v>3958</v>
      </c>
      <c r="K137" s="0" t="s">
        <v>3959</v>
      </c>
      <c r="L137" s="0" t="s">
        <v>4169</v>
      </c>
      <c r="M137" s="0" t="s">
        <v>109</v>
      </c>
      <c r="N137" s="0" t="s">
        <v>105</v>
      </c>
      <c r="O137" s="0" t="s">
        <v>127</v>
      </c>
      <c r="P137" s="0" t="s">
        <v>127</v>
      </c>
      <c r="Q137" s="0" t="s">
        <v>128</v>
      </c>
      <c r="R137" s="0" t="s">
        <v>3958</v>
      </c>
      <c r="S137" s="0" t="s">
        <v>3959</v>
      </c>
      <c r="T137" s="0" t="s">
        <v>3805</v>
      </c>
      <c r="U137" s="0" t="s">
        <v>3806</v>
      </c>
      <c r="V137" s="0" t="s">
        <v>713</v>
      </c>
      <c r="W137" s="0" t="s">
        <v>3807</v>
      </c>
      <c r="X137" s="0" t="s">
        <v>3854</v>
      </c>
      <c r="Y137" s="0" t="s">
        <v>3806</v>
      </c>
      <c r="Z137" s="0" t="s">
        <v>4170</v>
      </c>
      <c r="AA137" s="0" t="s">
        <v>3912</v>
      </c>
      <c r="AB137" s="0" t="s">
        <v>4171</v>
      </c>
      <c r="AC137" s="0" t="s">
        <v>64</v>
      </c>
      <c r="AD137" s="0" t="s">
        <v>19</v>
      </c>
      <c r="AE137" s="0" t="s">
        <v>64</v>
      </c>
      <c r="AF137" s="0" t="s">
        <v>4098</v>
      </c>
      <c r="AG137" s="0" t="s">
        <v>3660</v>
      </c>
      <c r="AH137" s="0" t="s">
        <v>22</v>
      </c>
      <c r="AI137" s="0" t="s">
        <v>22</v>
      </c>
      <c r="AJ137" s="0" t="s">
        <v>4172</v>
      </c>
      <c r="AK137" s="0" t="s">
        <v>3660</v>
      </c>
    </row>
    <row customHeight="1" ht="11.25">
      <c r="A138" s="0" t="s">
        <v>22</v>
      </c>
      <c r="B138" s="0" t="s">
        <v>48</v>
      </c>
      <c r="C138" s="0" t="s">
        <v>50</v>
      </c>
      <c r="D138" s="0" t="s">
        <v>22</v>
      </c>
      <c r="E138" s="0" t="s">
        <v>4173</v>
      </c>
      <c r="F138" s="0" t="s">
        <v>3926</v>
      </c>
      <c r="G138" s="0" t="s">
        <v>150</v>
      </c>
      <c r="H138" s="0" t="s">
        <v>150</v>
      </c>
      <c r="I138" s="0" t="s">
        <v>151</v>
      </c>
      <c r="J138" s="0" t="s">
        <v>3897</v>
      </c>
      <c r="K138" s="0" t="s">
        <v>3898</v>
      </c>
      <c r="L138" s="0" t="s">
        <v>4174</v>
      </c>
      <c r="M138" s="0" t="s">
        <v>3818</v>
      </c>
      <c r="N138" s="0" t="s">
        <v>105</v>
      </c>
      <c r="O138" s="0" t="s">
        <v>150</v>
      </c>
      <c r="P138" s="0" t="s">
        <v>150</v>
      </c>
      <c r="Q138" s="0" t="s">
        <v>151</v>
      </c>
      <c r="R138" s="0" t="s">
        <v>3897</v>
      </c>
      <c r="S138" s="0" t="s">
        <v>3898</v>
      </c>
      <c r="T138" s="0" t="s">
        <v>3819</v>
      </c>
      <c r="U138" s="0" t="s">
        <v>3820</v>
      </c>
      <c r="V138" s="0" t="s">
        <v>713</v>
      </c>
      <c r="W138" s="0" t="s">
        <v>3807</v>
      </c>
      <c r="X138" s="0" t="s">
        <v>3821</v>
      </c>
      <c r="Y138" s="0" t="s">
        <v>3820</v>
      </c>
      <c r="Z138" s="0" t="s">
        <v>4077</v>
      </c>
      <c r="AA138" s="0" t="s">
        <v>3901</v>
      </c>
      <c r="AB138" s="0" t="s">
        <v>4079</v>
      </c>
      <c r="AC138" s="0" t="s">
        <v>19</v>
      </c>
      <c r="AD138" s="0" t="s">
        <v>19</v>
      </c>
      <c r="AE138" s="0" t="s">
        <v>64</v>
      </c>
      <c r="AF138" s="0" t="s">
        <v>22</v>
      </c>
      <c r="AG138" s="0" t="s">
        <v>22</v>
      </c>
      <c r="AH138" s="0" t="s">
        <v>22</v>
      </c>
      <c r="AI138" s="0" t="s">
        <v>22</v>
      </c>
      <c r="AJ138" s="0" t="s">
        <v>4086</v>
      </c>
      <c r="AK138" s="0" t="s">
        <v>514</v>
      </c>
    </row>
    <row customHeight="1" ht="11.25">
      <c r="A139" s="0" t="s">
        <v>22</v>
      </c>
      <c r="B139" s="0" t="s">
        <v>48</v>
      </c>
      <c r="C139" s="0" t="s">
        <v>50</v>
      </c>
      <c r="D139" s="0" t="s">
        <v>22</v>
      </c>
      <c r="E139" s="0" t="s">
        <v>4173</v>
      </c>
      <c r="F139" s="0" t="s">
        <v>3926</v>
      </c>
      <c r="G139" s="0" t="s">
        <v>150</v>
      </c>
      <c r="H139" s="0" t="s">
        <v>150</v>
      </c>
      <c r="I139" s="0" t="s">
        <v>151</v>
      </c>
      <c r="J139" s="0" t="s">
        <v>3897</v>
      </c>
      <c r="K139" s="0" t="s">
        <v>3898</v>
      </c>
      <c r="L139" s="0" t="s">
        <v>4174</v>
      </c>
      <c r="M139" s="0" t="s">
        <v>3818</v>
      </c>
      <c r="N139" s="0" t="s">
        <v>105</v>
      </c>
      <c r="O139" s="0" t="s">
        <v>150</v>
      </c>
      <c r="P139" s="0" t="s">
        <v>150</v>
      </c>
      <c r="Q139" s="0" t="s">
        <v>151</v>
      </c>
      <c r="R139" s="0" t="s">
        <v>3897</v>
      </c>
      <c r="S139" s="0" t="s">
        <v>3898</v>
      </c>
      <c r="T139" s="0" t="s">
        <v>3819</v>
      </c>
      <c r="U139" s="0" t="s">
        <v>3820</v>
      </c>
      <c r="V139" s="0" t="s">
        <v>713</v>
      </c>
      <c r="W139" s="0" t="s">
        <v>3807</v>
      </c>
      <c r="X139" s="0" t="s">
        <v>3821</v>
      </c>
      <c r="Y139" s="0" t="s">
        <v>3820</v>
      </c>
      <c r="Z139" s="0" t="s">
        <v>4077</v>
      </c>
      <c r="AA139" s="0" t="s">
        <v>3901</v>
      </c>
      <c r="AB139" s="0" t="s">
        <v>4079</v>
      </c>
      <c r="AC139" s="0" t="s">
        <v>19</v>
      </c>
      <c r="AD139" s="0" t="s">
        <v>19</v>
      </c>
      <c r="AE139" s="0" t="s">
        <v>64</v>
      </c>
      <c r="AF139" s="0" t="s">
        <v>22</v>
      </c>
      <c r="AG139" s="0" t="s">
        <v>22</v>
      </c>
      <c r="AH139" s="0" t="s">
        <v>22</v>
      </c>
      <c r="AI139" s="0" t="s">
        <v>22</v>
      </c>
      <c r="AJ139" s="0" t="s">
        <v>4086</v>
      </c>
      <c r="AK139" s="0" t="s">
        <v>514</v>
      </c>
    </row>
    <row customHeight="1" ht="11.25">
      <c r="A140" s="0" t="s">
        <v>22</v>
      </c>
      <c r="B140" s="0" t="s">
        <v>48</v>
      </c>
      <c r="C140" s="0" t="s">
        <v>50</v>
      </c>
      <c r="D140" s="0" t="s">
        <v>22</v>
      </c>
      <c r="E140" s="0" t="s">
        <v>4175</v>
      </c>
      <c r="F140" s="0" t="s">
        <v>3926</v>
      </c>
      <c r="G140" s="0" t="s">
        <v>99</v>
      </c>
      <c r="H140" s="0" t="s">
        <v>99</v>
      </c>
      <c r="I140" s="0" t="s">
        <v>100</v>
      </c>
      <c r="J140" s="0" t="s">
        <v>4054</v>
      </c>
      <c r="K140" s="0" t="s">
        <v>4055</v>
      </c>
      <c r="L140" s="0" t="s">
        <v>954</v>
      </c>
      <c r="M140" s="0" t="s">
        <v>954</v>
      </c>
      <c r="N140" s="0" t="s">
        <v>105</v>
      </c>
      <c r="O140" s="0" t="s">
        <v>99</v>
      </c>
      <c r="P140" s="0" t="s">
        <v>99</v>
      </c>
      <c r="Q140" s="0" t="s">
        <v>100</v>
      </c>
      <c r="R140" s="0" t="s">
        <v>4054</v>
      </c>
      <c r="S140" s="0" t="s">
        <v>4055</v>
      </c>
      <c r="T140" s="0" t="s">
        <v>3938</v>
      </c>
      <c r="U140" s="0" t="s">
        <v>3939</v>
      </c>
      <c r="V140" s="0" t="s">
        <v>3940</v>
      </c>
      <c r="W140" s="0" t="s">
        <v>3807</v>
      </c>
      <c r="X140" s="0" t="s">
        <v>3821</v>
      </c>
      <c r="Y140" s="0" t="s">
        <v>3820</v>
      </c>
      <c r="Z140" s="0" t="s">
        <v>3846</v>
      </c>
      <c r="AA140" s="0" t="s">
        <v>3875</v>
      </c>
      <c r="AB140" s="0" t="s">
        <v>3940</v>
      </c>
      <c r="AC140" s="0" t="s">
        <v>19</v>
      </c>
      <c r="AD140" s="0" t="s">
        <v>19</v>
      </c>
      <c r="AE140" s="0" t="s">
        <v>64</v>
      </c>
      <c r="AF140" s="0" t="s">
        <v>22</v>
      </c>
      <c r="AG140" s="0" t="s">
        <v>22</v>
      </c>
      <c r="AH140" s="0" t="s">
        <v>22</v>
      </c>
      <c r="AI140" s="0" t="s">
        <v>22</v>
      </c>
      <c r="AJ140" s="0" t="s">
        <v>3715</v>
      </c>
      <c r="AK140" s="0" t="s">
        <v>4058</v>
      </c>
    </row>
    <row customHeight="1" ht="11.25">
      <c r="A141" s="0" t="s">
        <v>22</v>
      </c>
      <c r="B141" s="0" t="s">
        <v>48</v>
      </c>
      <c r="C141" s="0" t="s">
        <v>50</v>
      </c>
      <c r="D141" s="0" t="s">
        <v>22</v>
      </c>
      <c r="E141" s="0" t="s">
        <v>4175</v>
      </c>
      <c r="F141" s="0" t="s">
        <v>3926</v>
      </c>
      <c r="G141" s="0" t="s">
        <v>99</v>
      </c>
      <c r="H141" s="0" t="s">
        <v>99</v>
      </c>
      <c r="I141" s="0" t="s">
        <v>100</v>
      </c>
      <c r="J141" s="0" t="s">
        <v>4054</v>
      </c>
      <c r="K141" s="0" t="s">
        <v>4055</v>
      </c>
      <c r="L141" s="0" t="s">
        <v>954</v>
      </c>
      <c r="M141" s="0" t="s">
        <v>954</v>
      </c>
      <c r="N141" s="0" t="s">
        <v>105</v>
      </c>
      <c r="O141" s="0" t="s">
        <v>99</v>
      </c>
      <c r="P141" s="0" t="s">
        <v>99</v>
      </c>
      <c r="Q141" s="0" t="s">
        <v>100</v>
      </c>
      <c r="R141" s="0" t="s">
        <v>4054</v>
      </c>
      <c r="S141" s="0" t="s">
        <v>4055</v>
      </c>
      <c r="T141" s="0" t="s">
        <v>3938</v>
      </c>
      <c r="U141" s="0" t="s">
        <v>3939</v>
      </c>
      <c r="V141" s="0" t="s">
        <v>3940</v>
      </c>
      <c r="W141" s="0" t="s">
        <v>3807</v>
      </c>
      <c r="X141" s="0" t="s">
        <v>3821</v>
      </c>
      <c r="Y141" s="0" t="s">
        <v>3820</v>
      </c>
      <c r="Z141" s="0" t="s">
        <v>3846</v>
      </c>
      <c r="AA141" s="0" t="s">
        <v>3875</v>
      </c>
      <c r="AB141" s="0" t="s">
        <v>3940</v>
      </c>
      <c r="AC141" s="0" t="s">
        <v>19</v>
      </c>
      <c r="AD141" s="0" t="s">
        <v>19</v>
      </c>
      <c r="AE141" s="0" t="s">
        <v>64</v>
      </c>
      <c r="AF141" s="0" t="s">
        <v>22</v>
      </c>
      <c r="AG141" s="0" t="s">
        <v>22</v>
      </c>
      <c r="AH141" s="0" t="s">
        <v>22</v>
      </c>
      <c r="AI141" s="0" t="s">
        <v>22</v>
      </c>
      <c r="AJ141" s="0" t="s">
        <v>3715</v>
      </c>
      <c r="AK141" s="0" t="s">
        <v>4058</v>
      </c>
    </row>
    <row customHeight="1" ht="11.25">
      <c r="A142" s="0" t="s">
        <v>22</v>
      </c>
      <c r="B142" s="0" t="s">
        <v>48</v>
      </c>
      <c r="C142" s="0" t="s">
        <v>50</v>
      </c>
      <c r="D142" s="0" t="s">
        <v>22</v>
      </c>
      <c r="E142" s="0" t="s">
        <v>4176</v>
      </c>
      <c r="F142" s="0" t="s">
        <v>3926</v>
      </c>
      <c r="G142" s="0" t="s">
        <v>106</v>
      </c>
      <c r="H142" s="0" t="s">
        <v>106</v>
      </c>
      <c r="I142" s="0" t="s">
        <v>107</v>
      </c>
      <c r="J142" s="0" t="s">
        <v>3816</v>
      </c>
      <c r="K142" s="0" t="s">
        <v>3817</v>
      </c>
      <c r="L142" s="0" t="s">
        <v>4177</v>
      </c>
      <c r="M142" s="0" t="s">
        <v>3818</v>
      </c>
      <c r="N142" s="0" t="s">
        <v>105</v>
      </c>
      <c r="O142" s="0" t="s">
        <v>106</v>
      </c>
      <c r="P142" s="0" t="s">
        <v>106</v>
      </c>
      <c r="Q142" s="0" t="s">
        <v>107</v>
      </c>
      <c r="R142" s="0" t="s">
        <v>3816</v>
      </c>
      <c r="S142" s="0" t="s">
        <v>3817</v>
      </c>
      <c r="T142" s="0" t="s">
        <v>3819</v>
      </c>
      <c r="U142" s="0" t="s">
        <v>3820</v>
      </c>
      <c r="V142" s="0" t="s">
        <v>713</v>
      </c>
      <c r="W142" s="0" t="s">
        <v>3807</v>
      </c>
      <c r="X142" s="0" t="s">
        <v>3821</v>
      </c>
      <c r="Y142" s="0" t="s">
        <v>3820</v>
      </c>
      <c r="Z142" s="0" t="s">
        <v>3822</v>
      </c>
      <c r="AA142" s="0" t="s">
        <v>3823</v>
      </c>
      <c r="AB142" s="0" t="s">
        <v>3824</v>
      </c>
      <c r="AC142" s="0" t="s">
        <v>19</v>
      </c>
      <c r="AD142" s="0" t="s">
        <v>19</v>
      </c>
      <c r="AE142" s="0" t="s">
        <v>64</v>
      </c>
      <c r="AF142" s="0" t="s">
        <v>22</v>
      </c>
      <c r="AG142" s="0" t="s">
        <v>22</v>
      </c>
      <c r="AH142" s="0" t="s">
        <v>22</v>
      </c>
      <c r="AI142" s="0" t="s">
        <v>22</v>
      </c>
      <c r="AJ142" s="0" t="s">
        <v>4030</v>
      </c>
      <c r="AK142" s="0" t="s">
        <v>514</v>
      </c>
    </row>
    <row customHeight="1" ht="11.25">
      <c r="A143" s="0" t="s">
        <v>22</v>
      </c>
      <c r="B143" s="0" t="s">
        <v>48</v>
      </c>
      <c r="C143" s="0" t="s">
        <v>50</v>
      </c>
      <c r="D143" s="0" t="s">
        <v>22</v>
      </c>
      <c r="E143" s="0" t="s">
        <v>4176</v>
      </c>
      <c r="F143" s="0" t="s">
        <v>3926</v>
      </c>
      <c r="G143" s="0" t="s">
        <v>106</v>
      </c>
      <c r="H143" s="0" t="s">
        <v>106</v>
      </c>
      <c r="I143" s="0" t="s">
        <v>107</v>
      </c>
      <c r="J143" s="0" t="s">
        <v>3816</v>
      </c>
      <c r="K143" s="0" t="s">
        <v>3817</v>
      </c>
      <c r="L143" s="0" t="s">
        <v>4177</v>
      </c>
      <c r="M143" s="0" t="s">
        <v>3818</v>
      </c>
      <c r="N143" s="0" t="s">
        <v>105</v>
      </c>
      <c r="O143" s="0" t="s">
        <v>106</v>
      </c>
      <c r="P143" s="0" t="s">
        <v>106</v>
      </c>
      <c r="Q143" s="0" t="s">
        <v>107</v>
      </c>
      <c r="R143" s="0" t="s">
        <v>3816</v>
      </c>
      <c r="S143" s="0" t="s">
        <v>3817</v>
      </c>
      <c r="T143" s="0" t="s">
        <v>3819</v>
      </c>
      <c r="U143" s="0" t="s">
        <v>3820</v>
      </c>
      <c r="V143" s="0" t="s">
        <v>713</v>
      </c>
      <c r="W143" s="0" t="s">
        <v>3807</v>
      </c>
      <c r="X143" s="0" t="s">
        <v>3821</v>
      </c>
      <c r="Y143" s="0" t="s">
        <v>3820</v>
      </c>
      <c r="Z143" s="0" t="s">
        <v>3822</v>
      </c>
      <c r="AA143" s="0" t="s">
        <v>3823</v>
      </c>
      <c r="AB143" s="0" t="s">
        <v>3824</v>
      </c>
      <c r="AC143" s="0" t="s">
        <v>19</v>
      </c>
      <c r="AD143" s="0" t="s">
        <v>19</v>
      </c>
      <c r="AE143" s="0" t="s">
        <v>64</v>
      </c>
      <c r="AF143" s="0" t="s">
        <v>22</v>
      </c>
      <c r="AG143" s="0" t="s">
        <v>22</v>
      </c>
      <c r="AH143" s="0" t="s">
        <v>22</v>
      </c>
      <c r="AI143" s="0" t="s">
        <v>22</v>
      </c>
      <c r="AJ143" s="0" t="s">
        <v>4030</v>
      </c>
      <c r="AK143" s="0" t="s">
        <v>514</v>
      </c>
    </row>
    <row customHeight="1" ht="11.25">
      <c r="A144" s="0" t="s">
        <v>22</v>
      </c>
      <c r="B144" s="0" t="s">
        <v>48</v>
      </c>
      <c r="C144" s="0" t="s">
        <v>50</v>
      </c>
      <c r="D144" s="0" t="s">
        <v>22</v>
      </c>
      <c r="E144" s="0" t="s">
        <v>4178</v>
      </c>
      <c r="F144" s="0" t="s">
        <v>3926</v>
      </c>
      <c r="G144" s="0" t="s">
        <v>99</v>
      </c>
      <c r="H144" s="0" t="s">
        <v>99</v>
      </c>
      <c r="I144" s="0" t="s">
        <v>100</v>
      </c>
      <c r="J144" s="0" t="s">
        <v>3842</v>
      </c>
      <c r="K144" s="0" t="s">
        <v>3843</v>
      </c>
      <c r="L144" s="0" t="s">
        <v>4129</v>
      </c>
      <c r="M144" s="0" t="s">
        <v>4130</v>
      </c>
      <c r="N144" s="0" t="s">
        <v>105</v>
      </c>
      <c r="O144" s="0" t="s">
        <v>99</v>
      </c>
      <c r="P144" s="0" t="s">
        <v>99</v>
      </c>
      <c r="Q144" s="0" t="s">
        <v>100</v>
      </c>
      <c r="R144" s="0" t="s">
        <v>3842</v>
      </c>
      <c r="S144" s="0" t="s">
        <v>3843</v>
      </c>
      <c r="T144" s="0" t="s">
        <v>3819</v>
      </c>
      <c r="U144" s="0" t="s">
        <v>3820</v>
      </c>
      <c r="V144" s="0" t="s">
        <v>713</v>
      </c>
      <c r="W144" s="0" t="s">
        <v>3807</v>
      </c>
      <c r="X144" s="0" t="s">
        <v>3821</v>
      </c>
      <c r="Y144" s="0" t="s">
        <v>3820</v>
      </c>
      <c r="Z144" s="0" t="s">
        <v>3846</v>
      </c>
      <c r="AA144" s="0" t="s">
        <v>3847</v>
      </c>
      <c r="AB144" s="0" t="s">
        <v>4131</v>
      </c>
      <c r="AC144" s="0" t="s">
        <v>19</v>
      </c>
      <c r="AD144" s="0" t="s">
        <v>19</v>
      </c>
      <c r="AE144" s="0" t="s">
        <v>64</v>
      </c>
      <c r="AF144" s="0" t="s">
        <v>22</v>
      </c>
      <c r="AG144" s="0" t="s">
        <v>22</v>
      </c>
      <c r="AH144" s="0" t="s">
        <v>22</v>
      </c>
      <c r="AI144" s="0" t="s">
        <v>22</v>
      </c>
      <c r="AJ144" s="0" t="s">
        <v>2001</v>
      </c>
      <c r="AK144" s="0" t="s">
        <v>1910</v>
      </c>
    </row>
    <row customHeight="1" ht="11.25">
      <c r="A145" s="0" t="s">
        <v>22</v>
      </c>
      <c r="B145" s="0" t="s">
        <v>48</v>
      </c>
      <c r="C145" s="0" t="s">
        <v>50</v>
      </c>
      <c r="D145" s="0" t="s">
        <v>22</v>
      </c>
      <c r="E145" s="0" t="s">
        <v>4178</v>
      </c>
      <c r="F145" s="0" t="s">
        <v>3926</v>
      </c>
      <c r="G145" s="0" t="s">
        <v>99</v>
      </c>
      <c r="H145" s="0" t="s">
        <v>99</v>
      </c>
      <c r="I145" s="0" t="s">
        <v>100</v>
      </c>
      <c r="J145" s="0" t="s">
        <v>3842</v>
      </c>
      <c r="K145" s="0" t="s">
        <v>3843</v>
      </c>
      <c r="L145" s="0" t="s">
        <v>4129</v>
      </c>
      <c r="M145" s="0" t="s">
        <v>4130</v>
      </c>
      <c r="N145" s="0" t="s">
        <v>105</v>
      </c>
      <c r="O145" s="0" t="s">
        <v>99</v>
      </c>
      <c r="P145" s="0" t="s">
        <v>99</v>
      </c>
      <c r="Q145" s="0" t="s">
        <v>100</v>
      </c>
      <c r="R145" s="0" t="s">
        <v>3842</v>
      </c>
      <c r="S145" s="0" t="s">
        <v>3843</v>
      </c>
      <c r="T145" s="0" t="s">
        <v>3819</v>
      </c>
      <c r="U145" s="0" t="s">
        <v>3820</v>
      </c>
      <c r="V145" s="0" t="s">
        <v>713</v>
      </c>
      <c r="W145" s="0" t="s">
        <v>3807</v>
      </c>
      <c r="X145" s="0" t="s">
        <v>3821</v>
      </c>
      <c r="Y145" s="0" t="s">
        <v>3820</v>
      </c>
      <c r="Z145" s="0" t="s">
        <v>3846</v>
      </c>
      <c r="AA145" s="0" t="s">
        <v>3847</v>
      </c>
      <c r="AB145" s="0" t="s">
        <v>4131</v>
      </c>
      <c r="AC145" s="0" t="s">
        <v>19</v>
      </c>
      <c r="AD145" s="0" t="s">
        <v>19</v>
      </c>
      <c r="AE145" s="0" t="s">
        <v>64</v>
      </c>
      <c r="AF145" s="0" t="s">
        <v>22</v>
      </c>
      <c r="AG145" s="0" t="s">
        <v>22</v>
      </c>
      <c r="AH145" s="0" t="s">
        <v>22</v>
      </c>
      <c r="AI145" s="0" t="s">
        <v>22</v>
      </c>
      <c r="AJ145" s="0" t="s">
        <v>2001</v>
      </c>
      <c r="AK145" s="0" t="s">
        <v>1910</v>
      </c>
    </row>
    <row customHeight="1" ht="11.25">
      <c r="A146" s="0" t="s">
        <v>22</v>
      </c>
      <c r="B146" s="0" t="s">
        <v>48</v>
      </c>
      <c r="C146" s="0" t="s">
        <v>50</v>
      </c>
      <c r="D146" s="0" t="s">
        <v>22</v>
      </c>
      <c r="E146" s="0" t="s">
        <v>4179</v>
      </c>
      <c r="F146" s="0" t="s">
        <v>3926</v>
      </c>
      <c r="G146" s="0" t="s">
        <v>136</v>
      </c>
      <c r="H146" s="0" t="s">
        <v>136</v>
      </c>
      <c r="I146" s="0" t="s">
        <v>137</v>
      </c>
      <c r="J146" s="0" t="s">
        <v>4180</v>
      </c>
      <c r="K146" s="0" t="s">
        <v>4181</v>
      </c>
      <c r="L146" s="0" t="s">
        <v>3818</v>
      </c>
      <c r="M146" s="0" t="s">
        <v>3818</v>
      </c>
      <c r="N146" s="0" t="s">
        <v>105</v>
      </c>
      <c r="O146" s="0" t="s">
        <v>136</v>
      </c>
      <c r="P146" s="0" t="s">
        <v>136</v>
      </c>
      <c r="Q146" s="0" t="s">
        <v>137</v>
      </c>
      <c r="R146" s="0" t="s">
        <v>4180</v>
      </c>
      <c r="S146" s="0" t="s">
        <v>4181</v>
      </c>
      <c r="T146" s="0" t="s">
        <v>3819</v>
      </c>
      <c r="U146" s="0" t="s">
        <v>3820</v>
      </c>
      <c r="V146" s="0" t="s">
        <v>713</v>
      </c>
      <c r="W146" s="0" t="s">
        <v>3807</v>
      </c>
      <c r="X146" s="0" t="s">
        <v>3821</v>
      </c>
      <c r="Y146" s="0" t="s">
        <v>4009</v>
      </c>
      <c r="Z146" s="0" t="s">
        <v>3920</v>
      </c>
      <c r="AA146" s="0" t="s">
        <v>3921</v>
      </c>
      <c r="AB146" s="0" t="s">
        <v>4182</v>
      </c>
      <c r="AC146" s="0" t="s">
        <v>19</v>
      </c>
      <c r="AD146" s="0" t="s">
        <v>19</v>
      </c>
      <c r="AE146" s="0" t="s">
        <v>64</v>
      </c>
      <c r="AF146" s="0" t="s">
        <v>22</v>
      </c>
      <c r="AG146" s="0" t="s">
        <v>22</v>
      </c>
      <c r="AH146" s="0" t="s">
        <v>22</v>
      </c>
      <c r="AI146" s="0" t="s">
        <v>22</v>
      </c>
      <c r="AJ146" s="0" t="s">
        <v>4030</v>
      </c>
      <c r="AK146" s="0" t="s">
        <v>514</v>
      </c>
    </row>
    <row customHeight="1" ht="11.25">
      <c r="A147" s="0" t="s">
        <v>22</v>
      </c>
      <c r="B147" s="0" t="s">
        <v>48</v>
      </c>
      <c r="C147" s="0" t="s">
        <v>50</v>
      </c>
      <c r="D147" s="0" t="s">
        <v>22</v>
      </c>
      <c r="E147" s="0" t="s">
        <v>4179</v>
      </c>
      <c r="F147" s="0" t="s">
        <v>3926</v>
      </c>
      <c r="G147" s="0" t="s">
        <v>139</v>
      </c>
      <c r="H147" s="0" t="s">
        <v>140</v>
      </c>
      <c r="I147" s="0" t="s">
        <v>141</v>
      </c>
      <c r="J147" s="0" t="s">
        <v>4180</v>
      </c>
      <c r="K147" s="0" t="s">
        <v>4183</v>
      </c>
      <c r="L147" s="0" t="s">
        <v>3818</v>
      </c>
      <c r="M147" s="0" t="s">
        <v>3818</v>
      </c>
      <c r="N147" s="0" t="s">
        <v>105</v>
      </c>
      <c r="O147" s="0" t="s">
        <v>139</v>
      </c>
      <c r="P147" s="0" t="s">
        <v>140</v>
      </c>
      <c r="Q147" s="0" t="s">
        <v>141</v>
      </c>
      <c r="R147" s="0" t="s">
        <v>4180</v>
      </c>
      <c r="S147" s="0" t="s">
        <v>4183</v>
      </c>
      <c r="T147" s="0" t="s">
        <v>3819</v>
      </c>
      <c r="U147" s="0" t="s">
        <v>3820</v>
      </c>
      <c r="V147" s="0" t="s">
        <v>713</v>
      </c>
      <c r="W147" s="0" t="s">
        <v>3807</v>
      </c>
      <c r="X147" s="0" t="s">
        <v>3821</v>
      </c>
      <c r="Y147" s="0" t="s">
        <v>4009</v>
      </c>
      <c r="Z147" s="0" t="s">
        <v>3920</v>
      </c>
      <c r="AA147" s="0" t="s">
        <v>3921</v>
      </c>
      <c r="AB147" s="0" t="s">
        <v>4182</v>
      </c>
      <c r="AC147" s="0" t="s">
        <v>19</v>
      </c>
      <c r="AD147" s="0" t="s">
        <v>19</v>
      </c>
      <c r="AE147" s="0" t="s">
        <v>64</v>
      </c>
      <c r="AF147" s="0" t="s">
        <v>22</v>
      </c>
      <c r="AG147" s="0" t="s">
        <v>22</v>
      </c>
      <c r="AH147" s="0" t="s">
        <v>22</v>
      </c>
      <c r="AI147" s="0" t="s">
        <v>22</v>
      </c>
      <c r="AJ147" s="0" t="s">
        <v>4030</v>
      </c>
      <c r="AK147" s="0" t="s">
        <v>514</v>
      </c>
    </row>
    <row customHeight="1" ht="11.25">
      <c r="A148" s="0" t="s">
        <v>22</v>
      </c>
      <c r="B148" s="0" t="s">
        <v>48</v>
      </c>
      <c r="C148" s="0" t="s">
        <v>50</v>
      </c>
      <c r="D148" s="0" t="s">
        <v>22</v>
      </c>
      <c r="E148" s="0" t="s">
        <v>4184</v>
      </c>
      <c r="F148" s="0" t="s">
        <v>3926</v>
      </c>
      <c r="G148" s="0" t="s">
        <v>136</v>
      </c>
      <c r="H148" s="0" t="s">
        <v>136</v>
      </c>
      <c r="I148" s="0" t="s">
        <v>137</v>
      </c>
      <c r="J148" s="0" t="s">
        <v>3916</v>
      </c>
      <c r="K148" s="0" t="s">
        <v>3917</v>
      </c>
      <c r="L148" s="0" t="s">
        <v>4185</v>
      </c>
      <c r="M148" s="0" t="s">
        <v>3818</v>
      </c>
      <c r="N148" s="0" t="s">
        <v>105</v>
      </c>
      <c r="O148" s="0" t="s">
        <v>136</v>
      </c>
      <c r="P148" s="0" t="s">
        <v>136</v>
      </c>
      <c r="Q148" s="0" t="s">
        <v>137</v>
      </c>
      <c r="R148" s="0" t="s">
        <v>3916</v>
      </c>
      <c r="S148" s="0" t="s">
        <v>3917</v>
      </c>
      <c r="T148" s="0" t="s">
        <v>3819</v>
      </c>
      <c r="U148" s="0" t="s">
        <v>3820</v>
      </c>
      <c r="V148" s="0" t="s">
        <v>713</v>
      </c>
      <c r="W148" s="0" t="s">
        <v>3807</v>
      </c>
      <c r="X148" s="0" t="s">
        <v>3821</v>
      </c>
      <c r="Y148" s="0" t="s">
        <v>3820</v>
      </c>
      <c r="Z148" s="0" t="s">
        <v>3920</v>
      </c>
      <c r="AA148" s="0" t="s">
        <v>3921</v>
      </c>
      <c r="AB148" s="0" t="s">
        <v>3922</v>
      </c>
      <c r="AC148" s="0" t="s">
        <v>19</v>
      </c>
      <c r="AD148" s="0" t="s">
        <v>19</v>
      </c>
      <c r="AE148" s="0" t="s">
        <v>64</v>
      </c>
      <c r="AF148" s="0" t="s">
        <v>22</v>
      </c>
      <c r="AG148" s="0" t="s">
        <v>22</v>
      </c>
      <c r="AH148" s="0" t="s">
        <v>22</v>
      </c>
      <c r="AI148" s="0" t="s">
        <v>22</v>
      </c>
      <c r="AJ148" s="0" t="s">
        <v>2001</v>
      </c>
      <c r="AK148" s="0" t="s">
        <v>3923</v>
      </c>
    </row>
    <row customHeight="1" ht="11.25">
      <c r="A149" s="0" t="s">
        <v>22</v>
      </c>
      <c r="B149" s="0" t="s">
        <v>48</v>
      </c>
      <c r="C149" s="0" t="s">
        <v>50</v>
      </c>
      <c r="D149" s="0" t="s">
        <v>22</v>
      </c>
      <c r="E149" s="0" t="s">
        <v>4184</v>
      </c>
      <c r="F149" s="0" t="s">
        <v>3926</v>
      </c>
      <c r="G149" s="0" t="s">
        <v>139</v>
      </c>
      <c r="H149" s="0" t="s">
        <v>140</v>
      </c>
      <c r="I149" s="0" t="s">
        <v>141</v>
      </c>
      <c r="J149" s="0" t="s">
        <v>3916</v>
      </c>
      <c r="K149" s="0" t="s">
        <v>3924</v>
      </c>
      <c r="L149" s="0" t="s">
        <v>4185</v>
      </c>
      <c r="M149" s="0" t="s">
        <v>3818</v>
      </c>
      <c r="N149" s="0" t="s">
        <v>105</v>
      </c>
      <c r="O149" s="0" t="s">
        <v>139</v>
      </c>
      <c r="P149" s="0" t="s">
        <v>140</v>
      </c>
      <c r="Q149" s="0" t="s">
        <v>141</v>
      </c>
      <c r="R149" s="0" t="s">
        <v>3916</v>
      </c>
      <c r="S149" s="0" t="s">
        <v>3924</v>
      </c>
      <c r="T149" s="0" t="s">
        <v>3819</v>
      </c>
      <c r="U149" s="0" t="s">
        <v>3820</v>
      </c>
      <c r="V149" s="0" t="s">
        <v>713</v>
      </c>
      <c r="W149" s="0" t="s">
        <v>3807</v>
      </c>
      <c r="X149" s="0" t="s">
        <v>3821</v>
      </c>
      <c r="Y149" s="0" t="s">
        <v>3820</v>
      </c>
      <c r="Z149" s="0" t="s">
        <v>3920</v>
      </c>
      <c r="AA149" s="0" t="s">
        <v>3921</v>
      </c>
      <c r="AB149" s="0" t="s">
        <v>3922</v>
      </c>
      <c r="AC149" s="0" t="s">
        <v>19</v>
      </c>
      <c r="AD149" s="0" t="s">
        <v>19</v>
      </c>
      <c r="AE149" s="0" t="s">
        <v>64</v>
      </c>
      <c r="AF149" s="0" t="s">
        <v>22</v>
      </c>
      <c r="AG149" s="0" t="s">
        <v>22</v>
      </c>
      <c r="AH149" s="0" t="s">
        <v>22</v>
      </c>
      <c r="AI149" s="0" t="s">
        <v>22</v>
      </c>
      <c r="AJ149" s="0" t="s">
        <v>2001</v>
      </c>
      <c r="AK149" s="0" t="s">
        <v>3923</v>
      </c>
    </row>
    <row customHeight="1" ht="11.25">
      <c r="A150" s="0" t="s">
        <v>22</v>
      </c>
      <c r="B150" s="0" t="s">
        <v>48</v>
      </c>
      <c r="C150" s="0" t="s">
        <v>50</v>
      </c>
      <c r="D150" s="0" t="s">
        <v>22</v>
      </c>
      <c r="E150" s="0" t="s">
        <v>4186</v>
      </c>
      <c r="F150" s="0" t="s">
        <v>3926</v>
      </c>
      <c r="G150" s="0" t="s">
        <v>106</v>
      </c>
      <c r="H150" s="0" t="s">
        <v>106</v>
      </c>
      <c r="I150" s="0" t="s">
        <v>107</v>
      </c>
      <c r="J150" s="0" t="s">
        <v>3833</v>
      </c>
      <c r="K150" s="0" t="s">
        <v>3834</v>
      </c>
      <c r="L150" s="0" t="s">
        <v>3830</v>
      </c>
      <c r="M150" s="0" t="s">
        <v>3818</v>
      </c>
      <c r="N150" s="0" t="s">
        <v>105</v>
      </c>
      <c r="O150" s="0" t="s">
        <v>106</v>
      </c>
      <c r="P150" s="0" t="s">
        <v>106</v>
      </c>
      <c r="Q150" s="0" t="s">
        <v>107</v>
      </c>
      <c r="R150" s="0" t="s">
        <v>3833</v>
      </c>
      <c r="S150" s="0" t="s">
        <v>3834</v>
      </c>
      <c r="T150" s="0" t="s">
        <v>3819</v>
      </c>
      <c r="U150" s="0" t="s">
        <v>3820</v>
      </c>
      <c r="V150" s="0" t="s">
        <v>713</v>
      </c>
      <c r="W150" s="0" t="s">
        <v>3807</v>
      </c>
      <c r="X150" s="0" t="s">
        <v>3821</v>
      </c>
      <c r="Y150" s="0" t="s">
        <v>3820</v>
      </c>
      <c r="Z150" s="0" t="s">
        <v>3822</v>
      </c>
      <c r="AA150" s="0" t="s">
        <v>3823</v>
      </c>
      <c r="AB150" s="0" t="s">
        <v>3824</v>
      </c>
      <c r="AC150" s="0" t="s">
        <v>19</v>
      </c>
      <c r="AD150" s="0" t="s">
        <v>19</v>
      </c>
      <c r="AE150" s="0" t="s">
        <v>64</v>
      </c>
      <c r="AF150" s="0" t="s">
        <v>22</v>
      </c>
      <c r="AG150" s="0" t="s">
        <v>22</v>
      </c>
      <c r="AH150" s="0" t="s">
        <v>22</v>
      </c>
      <c r="AI150" s="0" t="s">
        <v>22</v>
      </c>
      <c r="AJ150" s="0" t="s">
        <v>4030</v>
      </c>
      <c r="AK150" s="0" t="s">
        <v>514</v>
      </c>
    </row>
    <row customHeight="1" ht="11.25">
      <c r="A151" s="0" t="s">
        <v>22</v>
      </c>
      <c r="B151" s="0" t="s">
        <v>48</v>
      </c>
      <c r="C151" s="0" t="s">
        <v>50</v>
      </c>
      <c r="D151" s="0" t="s">
        <v>22</v>
      </c>
      <c r="E151" s="0" t="s">
        <v>4186</v>
      </c>
      <c r="F151" s="0" t="s">
        <v>3926</v>
      </c>
      <c r="G151" s="0" t="s">
        <v>106</v>
      </c>
      <c r="H151" s="0" t="s">
        <v>106</v>
      </c>
      <c r="I151" s="0" t="s">
        <v>107</v>
      </c>
      <c r="J151" s="0" t="s">
        <v>3833</v>
      </c>
      <c r="K151" s="0" t="s">
        <v>3834</v>
      </c>
      <c r="L151" s="0" t="s">
        <v>3830</v>
      </c>
      <c r="M151" s="0" t="s">
        <v>3818</v>
      </c>
      <c r="N151" s="0" t="s">
        <v>105</v>
      </c>
      <c r="O151" s="0" t="s">
        <v>106</v>
      </c>
      <c r="P151" s="0" t="s">
        <v>106</v>
      </c>
      <c r="Q151" s="0" t="s">
        <v>107</v>
      </c>
      <c r="R151" s="0" t="s">
        <v>3833</v>
      </c>
      <c r="S151" s="0" t="s">
        <v>3834</v>
      </c>
      <c r="T151" s="0" t="s">
        <v>3819</v>
      </c>
      <c r="U151" s="0" t="s">
        <v>3820</v>
      </c>
      <c r="V151" s="0" t="s">
        <v>713</v>
      </c>
      <c r="W151" s="0" t="s">
        <v>3807</v>
      </c>
      <c r="X151" s="0" t="s">
        <v>3821</v>
      </c>
      <c r="Y151" s="0" t="s">
        <v>3820</v>
      </c>
      <c r="Z151" s="0" t="s">
        <v>3822</v>
      </c>
      <c r="AA151" s="0" t="s">
        <v>3823</v>
      </c>
      <c r="AB151" s="0" t="s">
        <v>3824</v>
      </c>
      <c r="AC151" s="0" t="s">
        <v>19</v>
      </c>
      <c r="AD151" s="0" t="s">
        <v>19</v>
      </c>
      <c r="AE151" s="0" t="s">
        <v>64</v>
      </c>
      <c r="AF151" s="0" t="s">
        <v>22</v>
      </c>
      <c r="AG151" s="0" t="s">
        <v>22</v>
      </c>
      <c r="AH151" s="0" t="s">
        <v>22</v>
      </c>
      <c r="AI151" s="0" t="s">
        <v>22</v>
      </c>
      <c r="AJ151" s="0" t="s">
        <v>4030</v>
      </c>
      <c r="AK151" s="0" t="s">
        <v>514</v>
      </c>
    </row>
    <row customHeight="1" ht="11.25">
      <c r="A152" s="0" t="s">
        <v>22</v>
      </c>
      <c r="B152" s="0" t="s">
        <v>48</v>
      </c>
      <c r="C152" s="0" t="s">
        <v>50</v>
      </c>
      <c r="D152" s="0" t="s">
        <v>22</v>
      </c>
      <c r="E152" s="0" t="s">
        <v>4187</v>
      </c>
      <c r="F152" s="0" t="s">
        <v>3815</v>
      </c>
      <c r="G152" s="0" t="s">
        <v>3699</v>
      </c>
      <c r="H152" s="0" t="s">
        <v>3699</v>
      </c>
      <c r="I152" s="0" t="s">
        <v>3700</v>
      </c>
      <c r="J152" s="0" t="s">
        <v>3927</v>
      </c>
      <c r="K152" s="0" t="s">
        <v>3928</v>
      </c>
      <c r="L152" s="0" t="s">
        <v>3929</v>
      </c>
      <c r="M152" s="0" t="s">
        <v>2005</v>
      </c>
      <c r="N152" s="0" t="s">
        <v>105</v>
      </c>
      <c r="O152" s="0" t="s">
        <v>3699</v>
      </c>
      <c r="P152" s="0" t="s">
        <v>3699</v>
      </c>
      <c r="Q152" s="0" t="s">
        <v>3700</v>
      </c>
      <c r="R152" s="0" t="s">
        <v>3927</v>
      </c>
      <c r="S152" s="0" t="s">
        <v>3928</v>
      </c>
      <c r="T152" s="0" t="s">
        <v>3819</v>
      </c>
      <c r="U152" s="0" t="s">
        <v>3820</v>
      </c>
      <c r="V152" s="0" t="s">
        <v>3930</v>
      </c>
      <c r="W152" s="0" t="s">
        <v>3807</v>
      </c>
      <c r="X152" s="0" t="s">
        <v>3821</v>
      </c>
      <c r="Y152" s="0" t="s">
        <v>3820</v>
      </c>
      <c r="Z152" s="0" t="s">
        <v>3931</v>
      </c>
      <c r="AA152" s="0" t="s">
        <v>3932</v>
      </c>
      <c r="AB152" s="0" t="s">
        <v>3930</v>
      </c>
      <c r="AC152" s="0" t="s">
        <v>64</v>
      </c>
      <c r="AD152" s="0" t="s">
        <v>19</v>
      </c>
      <c r="AE152" s="0" t="s">
        <v>19</v>
      </c>
      <c r="AF152" s="0" t="s">
        <v>3923</v>
      </c>
      <c r="AG152" s="0" t="s">
        <v>3933</v>
      </c>
      <c r="AH152" s="0" t="s">
        <v>22</v>
      </c>
      <c r="AI152" s="0" t="s">
        <v>22</v>
      </c>
      <c r="AJ152" s="0" t="s">
        <v>22</v>
      </c>
      <c r="AK152" s="0" t="s">
        <v>22</v>
      </c>
    </row>
    <row customHeight="1" ht="11.25">
      <c r="A153" s="0" t="s">
        <v>22</v>
      </c>
      <c r="B153" s="0" t="s">
        <v>48</v>
      </c>
      <c r="C153" s="0" t="s">
        <v>50</v>
      </c>
      <c r="D153" s="0" t="s">
        <v>22</v>
      </c>
      <c r="E153" s="0" t="s">
        <v>4187</v>
      </c>
      <c r="F153" s="0" t="s">
        <v>3815</v>
      </c>
      <c r="G153" s="0" t="s">
        <v>168</v>
      </c>
      <c r="H153" s="0" t="s">
        <v>169</v>
      </c>
      <c r="I153" s="0" t="s">
        <v>170</v>
      </c>
      <c r="J153" s="0" t="s">
        <v>3927</v>
      </c>
      <c r="K153" s="0" t="s">
        <v>3934</v>
      </c>
      <c r="L153" s="0" t="s">
        <v>3929</v>
      </c>
      <c r="M153" s="0" t="s">
        <v>2005</v>
      </c>
      <c r="N153" s="0" t="s">
        <v>105</v>
      </c>
      <c r="O153" s="0" t="s">
        <v>168</v>
      </c>
      <c r="P153" s="0" t="s">
        <v>169</v>
      </c>
      <c r="Q153" s="0" t="s">
        <v>170</v>
      </c>
      <c r="R153" s="0" t="s">
        <v>3927</v>
      </c>
      <c r="S153" s="0" t="s">
        <v>3934</v>
      </c>
      <c r="T153" s="0" t="s">
        <v>3819</v>
      </c>
      <c r="U153" s="0" t="s">
        <v>3820</v>
      </c>
      <c r="V153" s="0" t="s">
        <v>3930</v>
      </c>
      <c r="W153" s="0" t="s">
        <v>3807</v>
      </c>
      <c r="X153" s="0" t="s">
        <v>3821</v>
      </c>
      <c r="Y153" s="0" t="s">
        <v>3820</v>
      </c>
      <c r="Z153" s="0" t="s">
        <v>3931</v>
      </c>
      <c r="AA153" s="0" t="s">
        <v>3932</v>
      </c>
      <c r="AB153" s="0" t="s">
        <v>3930</v>
      </c>
      <c r="AC153" s="0" t="s">
        <v>64</v>
      </c>
      <c r="AD153" s="0" t="s">
        <v>19</v>
      </c>
      <c r="AE153" s="0" t="s">
        <v>19</v>
      </c>
      <c r="AF153" s="0" t="s">
        <v>3923</v>
      </c>
      <c r="AG153" s="0" t="s">
        <v>3933</v>
      </c>
      <c r="AH153" s="0" t="s">
        <v>22</v>
      </c>
      <c r="AI153" s="0" t="s">
        <v>22</v>
      </c>
      <c r="AJ153" s="0" t="s">
        <v>22</v>
      </c>
      <c r="AK153" s="0" t="s">
        <v>22</v>
      </c>
    </row>
    <row customHeight="1" ht="11.25">
      <c r="A154" s="0" t="s">
        <v>22</v>
      </c>
      <c r="B154" s="0" t="s">
        <v>48</v>
      </c>
      <c r="C154" s="0" t="s">
        <v>50</v>
      </c>
      <c r="D154" s="0" t="s">
        <v>22</v>
      </c>
      <c r="E154" s="0" t="s">
        <v>4188</v>
      </c>
      <c r="F154" s="0" t="s">
        <v>3815</v>
      </c>
      <c r="G154" s="0" t="s">
        <v>3699</v>
      </c>
      <c r="H154" s="0" t="s">
        <v>3699</v>
      </c>
      <c r="I154" s="0" t="s">
        <v>3700</v>
      </c>
      <c r="J154" s="0" t="s">
        <v>3927</v>
      </c>
      <c r="K154" s="0" t="s">
        <v>3928</v>
      </c>
      <c r="L154" s="0" t="s">
        <v>4189</v>
      </c>
      <c r="M154" s="0" t="s">
        <v>4190</v>
      </c>
      <c r="N154" s="0" t="s">
        <v>105</v>
      </c>
      <c r="O154" s="0" t="s">
        <v>3699</v>
      </c>
      <c r="P154" s="0" t="s">
        <v>3699</v>
      </c>
      <c r="Q154" s="0" t="s">
        <v>3700</v>
      </c>
      <c r="R154" s="0" t="s">
        <v>3927</v>
      </c>
      <c r="S154" s="0" t="s">
        <v>3928</v>
      </c>
      <c r="T154" s="0" t="s">
        <v>3819</v>
      </c>
      <c r="U154" s="0" t="s">
        <v>3820</v>
      </c>
      <c r="V154" s="0" t="s">
        <v>3930</v>
      </c>
      <c r="W154" s="0" t="s">
        <v>3807</v>
      </c>
      <c r="X154" s="0" t="s">
        <v>3821</v>
      </c>
      <c r="Y154" s="0" t="s">
        <v>3820</v>
      </c>
      <c r="Z154" s="0" t="s">
        <v>3931</v>
      </c>
      <c r="AA154" s="0" t="s">
        <v>3932</v>
      </c>
      <c r="AB154" s="0" t="s">
        <v>3930</v>
      </c>
      <c r="AC154" s="0" t="s">
        <v>64</v>
      </c>
      <c r="AD154" s="0" t="s">
        <v>19</v>
      </c>
      <c r="AE154" s="0" t="s">
        <v>19</v>
      </c>
      <c r="AF154" s="0" t="s">
        <v>3923</v>
      </c>
      <c r="AG154" s="0" t="s">
        <v>4191</v>
      </c>
      <c r="AH154" s="0" t="s">
        <v>22</v>
      </c>
      <c r="AI154" s="0" t="s">
        <v>22</v>
      </c>
      <c r="AJ154" s="0" t="s">
        <v>22</v>
      </c>
      <c r="AK154" s="0" t="s">
        <v>22</v>
      </c>
    </row>
    <row customHeight="1" ht="11.25">
      <c r="A155" s="0" t="s">
        <v>22</v>
      </c>
      <c r="B155" s="0" t="s">
        <v>48</v>
      </c>
      <c r="C155" s="0" t="s">
        <v>50</v>
      </c>
      <c r="D155" s="0" t="s">
        <v>22</v>
      </c>
      <c r="E155" s="0" t="s">
        <v>4188</v>
      </c>
      <c r="F155" s="0" t="s">
        <v>3815</v>
      </c>
      <c r="G155" s="0" t="s">
        <v>168</v>
      </c>
      <c r="H155" s="0" t="s">
        <v>169</v>
      </c>
      <c r="I155" s="0" t="s">
        <v>170</v>
      </c>
      <c r="J155" s="0" t="s">
        <v>3927</v>
      </c>
      <c r="K155" s="0" t="s">
        <v>3934</v>
      </c>
      <c r="L155" s="0" t="s">
        <v>4189</v>
      </c>
      <c r="M155" s="0" t="s">
        <v>4190</v>
      </c>
      <c r="N155" s="0" t="s">
        <v>105</v>
      </c>
      <c r="O155" s="0" t="s">
        <v>168</v>
      </c>
      <c r="P155" s="0" t="s">
        <v>169</v>
      </c>
      <c r="Q155" s="0" t="s">
        <v>170</v>
      </c>
      <c r="R155" s="0" t="s">
        <v>3927</v>
      </c>
      <c r="S155" s="0" t="s">
        <v>3934</v>
      </c>
      <c r="T155" s="0" t="s">
        <v>3819</v>
      </c>
      <c r="U155" s="0" t="s">
        <v>3820</v>
      </c>
      <c r="V155" s="0" t="s">
        <v>3930</v>
      </c>
      <c r="W155" s="0" t="s">
        <v>3807</v>
      </c>
      <c r="X155" s="0" t="s">
        <v>3821</v>
      </c>
      <c r="Y155" s="0" t="s">
        <v>3820</v>
      </c>
      <c r="Z155" s="0" t="s">
        <v>3931</v>
      </c>
      <c r="AA155" s="0" t="s">
        <v>3932</v>
      </c>
      <c r="AB155" s="0" t="s">
        <v>3930</v>
      </c>
      <c r="AC155" s="0" t="s">
        <v>64</v>
      </c>
      <c r="AD155" s="0" t="s">
        <v>19</v>
      </c>
      <c r="AE155" s="0" t="s">
        <v>19</v>
      </c>
      <c r="AF155" s="0" t="s">
        <v>3923</v>
      </c>
      <c r="AG155" s="0" t="s">
        <v>4191</v>
      </c>
      <c r="AH155" s="0" t="s">
        <v>22</v>
      </c>
      <c r="AI155" s="0" t="s">
        <v>22</v>
      </c>
      <c r="AJ155" s="0" t="s">
        <v>22</v>
      </c>
      <c r="AK155" s="0" t="s">
        <v>22</v>
      </c>
    </row>
    <row customHeight="1" ht="11.25">
      <c r="A156" s="0" t="s">
        <v>22</v>
      </c>
      <c r="B156" s="0" t="s">
        <v>48</v>
      </c>
      <c r="C156" s="0" t="s">
        <v>50</v>
      </c>
      <c r="D156" s="0" t="s">
        <v>22</v>
      </c>
      <c r="E156" s="0" t="s">
        <v>4192</v>
      </c>
      <c r="F156" s="0" t="s">
        <v>3815</v>
      </c>
      <c r="G156" s="0" t="s">
        <v>99</v>
      </c>
      <c r="H156" s="0" t="s">
        <v>99</v>
      </c>
      <c r="I156" s="0" t="s">
        <v>100</v>
      </c>
      <c r="J156" s="0" t="s">
        <v>4081</v>
      </c>
      <c r="K156" s="0" t="s">
        <v>4082</v>
      </c>
      <c r="L156" s="0" t="s">
        <v>1331</v>
      </c>
      <c r="M156" s="0" t="s">
        <v>3688</v>
      </c>
      <c r="N156" s="0" t="s">
        <v>105</v>
      </c>
      <c r="O156" s="0" t="s">
        <v>99</v>
      </c>
      <c r="P156" s="0" t="s">
        <v>99</v>
      </c>
      <c r="Q156" s="0" t="s">
        <v>100</v>
      </c>
      <c r="R156" s="0" t="s">
        <v>4081</v>
      </c>
      <c r="S156" s="0" t="s">
        <v>4082</v>
      </c>
      <c r="T156" s="0" t="s">
        <v>3819</v>
      </c>
      <c r="U156" s="0" t="s">
        <v>3820</v>
      </c>
      <c r="V156" s="0" t="s">
        <v>713</v>
      </c>
      <c r="W156" s="0" t="s">
        <v>3807</v>
      </c>
      <c r="X156" s="0" t="s">
        <v>3821</v>
      </c>
      <c r="Y156" s="0" t="s">
        <v>3820</v>
      </c>
      <c r="Z156" s="0" t="s">
        <v>4083</v>
      </c>
      <c r="AA156" s="0" t="s">
        <v>3875</v>
      </c>
      <c r="AB156" s="0" t="s">
        <v>3840</v>
      </c>
      <c r="AC156" s="0" t="s">
        <v>64</v>
      </c>
      <c r="AD156" s="0" t="s">
        <v>19</v>
      </c>
      <c r="AE156" s="0" t="s">
        <v>19</v>
      </c>
      <c r="AF156" s="0" t="s">
        <v>91</v>
      </c>
      <c r="AG156" s="0" t="s">
        <v>1128</v>
      </c>
      <c r="AH156" s="0" t="s">
        <v>22</v>
      </c>
      <c r="AI156" s="0" t="s">
        <v>22</v>
      </c>
      <c r="AJ156" s="0" t="s">
        <v>22</v>
      </c>
      <c r="AK156" s="0" t="s">
        <v>22</v>
      </c>
    </row>
    <row customHeight="1" ht="11.25">
      <c r="A157" s="0" t="s">
        <v>22</v>
      </c>
      <c r="B157" s="0" t="s">
        <v>48</v>
      </c>
      <c r="C157" s="0" t="s">
        <v>50</v>
      </c>
      <c r="D157" s="0" t="s">
        <v>22</v>
      </c>
      <c r="E157" s="0" t="s">
        <v>4192</v>
      </c>
      <c r="F157" s="0" t="s">
        <v>3815</v>
      </c>
      <c r="G157" s="0" t="s">
        <v>99</v>
      </c>
      <c r="H157" s="0" t="s">
        <v>99</v>
      </c>
      <c r="I157" s="0" t="s">
        <v>100</v>
      </c>
      <c r="J157" s="0" t="s">
        <v>4081</v>
      </c>
      <c r="K157" s="0" t="s">
        <v>4082</v>
      </c>
      <c r="L157" s="0" t="s">
        <v>1331</v>
      </c>
      <c r="M157" s="0" t="s">
        <v>3688</v>
      </c>
      <c r="N157" s="0" t="s">
        <v>105</v>
      </c>
      <c r="O157" s="0" t="s">
        <v>99</v>
      </c>
      <c r="P157" s="0" t="s">
        <v>99</v>
      </c>
      <c r="Q157" s="0" t="s">
        <v>100</v>
      </c>
      <c r="R157" s="0" t="s">
        <v>4081</v>
      </c>
      <c r="S157" s="0" t="s">
        <v>4082</v>
      </c>
      <c r="T157" s="0" t="s">
        <v>3819</v>
      </c>
      <c r="U157" s="0" t="s">
        <v>3820</v>
      </c>
      <c r="V157" s="0" t="s">
        <v>713</v>
      </c>
      <c r="W157" s="0" t="s">
        <v>3807</v>
      </c>
      <c r="X157" s="0" t="s">
        <v>3821</v>
      </c>
      <c r="Y157" s="0" t="s">
        <v>3820</v>
      </c>
      <c r="Z157" s="0" t="s">
        <v>4083</v>
      </c>
      <c r="AA157" s="0" t="s">
        <v>3875</v>
      </c>
      <c r="AB157" s="0" t="s">
        <v>3840</v>
      </c>
      <c r="AC157" s="0" t="s">
        <v>64</v>
      </c>
      <c r="AD157" s="0" t="s">
        <v>19</v>
      </c>
      <c r="AE157" s="0" t="s">
        <v>19</v>
      </c>
      <c r="AF157" s="0" t="s">
        <v>91</v>
      </c>
      <c r="AG157" s="0" t="s">
        <v>1128</v>
      </c>
      <c r="AH157" s="0" t="s">
        <v>22</v>
      </c>
      <c r="AI157" s="0" t="s">
        <v>22</v>
      </c>
      <c r="AJ157" s="0" t="s">
        <v>22</v>
      </c>
      <c r="AK157" s="0" t="s">
        <v>22</v>
      </c>
    </row>
    <row customHeight="1" ht="11.25">
      <c r="A158" s="0" t="s">
        <v>22</v>
      </c>
      <c r="B158" s="0" t="s">
        <v>48</v>
      </c>
      <c r="C158" s="0" t="s">
        <v>50</v>
      </c>
      <c r="D158" s="0" t="s">
        <v>22</v>
      </c>
      <c r="E158" s="0" t="s">
        <v>4193</v>
      </c>
      <c r="F158" s="0" t="s">
        <v>1305</v>
      </c>
      <c r="G158" s="0" t="s">
        <v>99</v>
      </c>
      <c r="H158" s="0" t="s">
        <v>99</v>
      </c>
      <c r="I158" s="0" t="s">
        <v>100</v>
      </c>
      <c r="J158" s="0" t="s">
        <v>3887</v>
      </c>
      <c r="K158" s="0" t="s">
        <v>3888</v>
      </c>
      <c r="L158" s="0" t="s">
        <v>4194</v>
      </c>
      <c r="M158" s="0" t="s">
        <v>3919</v>
      </c>
      <c r="N158" s="0" t="s">
        <v>105</v>
      </c>
      <c r="O158" s="0" t="s">
        <v>99</v>
      </c>
      <c r="P158" s="0" t="s">
        <v>99</v>
      </c>
      <c r="Q158" s="0" t="s">
        <v>100</v>
      </c>
      <c r="R158" s="0" t="s">
        <v>3887</v>
      </c>
      <c r="S158" s="0" t="s">
        <v>3888</v>
      </c>
      <c r="T158" s="0" t="s">
        <v>3819</v>
      </c>
      <c r="U158" s="0" t="s">
        <v>3820</v>
      </c>
      <c r="V158" s="0" t="s">
        <v>713</v>
      </c>
      <c r="W158" s="0" t="s">
        <v>3807</v>
      </c>
      <c r="X158" s="0" t="s">
        <v>3821</v>
      </c>
      <c r="Y158" s="0" t="s">
        <v>3820</v>
      </c>
      <c r="Z158" s="0" t="s">
        <v>3890</v>
      </c>
      <c r="AA158" s="0" t="s">
        <v>3891</v>
      </c>
      <c r="AB158" s="0" t="s">
        <v>3840</v>
      </c>
      <c r="AC158" s="0" t="s">
        <v>64</v>
      </c>
      <c r="AD158" s="0" t="s">
        <v>19</v>
      </c>
      <c r="AE158" s="0" t="s">
        <v>64</v>
      </c>
      <c r="AF158" s="0" t="s">
        <v>1887</v>
      </c>
      <c r="AG158" s="0" t="s">
        <v>514</v>
      </c>
      <c r="AH158" s="0" t="s">
        <v>22</v>
      </c>
      <c r="AI158" s="0" t="s">
        <v>22</v>
      </c>
      <c r="AJ158" s="0" t="s">
        <v>1887</v>
      </c>
      <c r="AK158" s="0" t="s">
        <v>514</v>
      </c>
    </row>
    <row customHeight="1" ht="11.25">
      <c r="A159" s="0" t="s">
        <v>22</v>
      </c>
      <c r="B159" s="0" t="s">
        <v>48</v>
      </c>
      <c r="C159" s="0" t="s">
        <v>50</v>
      </c>
      <c r="D159" s="0" t="s">
        <v>22</v>
      </c>
      <c r="E159" s="0" t="s">
        <v>4193</v>
      </c>
      <c r="F159" s="0" t="s">
        <v>1305</v>
      </c>
      <c r="G159" s="0" t="s">
        <v>99</v>
      </c>
      <c r="H159" s="0" t="s">
        <v>99</v>
      </c>
      <c r="I159" s="0" t="s">
        <v>100</v>
      </c>
      <c r="J159" s="0" t="s">
        <v>3887</v>
      </c>
      <c r="K159" s="0" t="s">
        <v>3888</v>
      </c>
      <c r="L159" s="0" t="s">
        <v>4194</v>
      </c>
      <c r="M159" s="0" t="s">
        <v>3919</v>
      </c>
      <c r="N159" s="0" t="s">
        <v>105</v>
      </c>
      <c r="O159" s="0" t="s">
        <v>99</v>
      </c>
      <c r="P159" s="0" t="s">
        <v>99</v>
      </c>
      <c r="Q159" s="0" t="s">
        <v>100</v>
      </c>
      <c r="R159" s="0" t="s">
        <v>3887</v>
      </c>
      <c r="S159" s="0" t="s">
        <v>3888</v>
      </c>
      <c r="T159" s="0" t="s">
        <v>3819</v>
      </c>
      <c r="U159" s="0" t="s">
        <v>3820</v>
      </c>
      <c r="V159" s="0" t="s">
        <v>713</v>
      </c>
      <c r="W159" s="0" t="s">
        <v>3807</v>
      </c>
      <c r="X159" s="0" t="s">
        <v>3821</v>
      </c>
      <c r="Y159" s="0" t="s">
        <v>3820</v>
      </c>
      <c r="Z159" s="0" t="s">
        <v>3890</v>
      </c>
      <c r="AA159" s="0" t="s">
        <v>3891</v>
      </c>
      <c r="AB159" s="0" t="s">
        <v>3840</v>
      </c>
      <c r="AC159" s="0" t="s">
        <v>64</v>
      </c>
      <c r="AD159" s="0" t="s">
        <v>19</v>
      </c>
      <c r="AE159" s="0" t="s">
        <v>64</v>
      </c>
      <c r="AF159" s="0" t="s">
        <v>1887</v>
      </c>
      <c r="AG159" s="0" t="s">
        <v>514</v>
      </c>
      <c r="AH159" s="0" t="s">
        <v>22</v>
      </c>
      <c r="AI159" s="0" t="s">
        <v>22</v>
      </c>
      <c r="AJ159" s="0" t="s">
        <v>1887</v>
      </c>
      <c r="AK159" s="0" t="s">
        <v>514</v>
      </c>
    </row>
    <row customHeight="1" ht="11.25">
      <c r="A160" s="0" t="s">
        <v>22</v>
      </c>
      <c r="B160" s="0" t="s">
        <v>48</v>
      </c>
      <c r="C160" s="0" t="s">
        <v>50</v>
      </c>
      <c r="D160" s="0" t="s">
        <v>22</v>
      </c>
      <c r="E160" s="0" t="s">
        <v>4195</v>
      </c>
      <c r="F160" s="0" t="s">
        <v>3815</v>
      </c>
      <c r="G160" s="0" t="s">
        <v>136</v>
      </c>
      <c r="H160" s="0" t="s">
        <v>136</v>
      </c>
      <c r="I160" s="0" t="s">
        <v>137</v>
      </c>
      <c r="J160" s="0" t="s">
        <v>3916</v>
      </c>
      <c r="K160" s="0" t="s">
        <v>3917</v>
      </c>
      <c r="L160" s="0" t="s">
        <v>3918</v>
      </c>
      <c r="M160" s="0" t="s">
        <v>3919</v>
      </c>
      <c r="N160" s="0" t="s">
        <v>105</v>
      </c>
      <c r="O160" s="0" t="s">
        <v>136</v>
      </c>
      <c r="P160" s="0" t="s">
        <v>136</v>
      </c>
      <c r="Q160" s="0" t="s">
        <v>137</v>
      </c>
      <c r="R160" s="0" t="s">
        <v>3916</v>
      </c>
      <c r="S160" s="0" t="s">
        <v>3917</v>
      </c>
      <c r="T160" s="0" t="s">
        <v>3819</v>
      </c>
      <c r="U160" s="0" t="s">
        <v>3820</v>
      </c>
      <c r="V160" s="0" t="s">
        <v>713</v>
      </c>
      <c r="W160" s="0" t="s">
        <v>3807</v>
      </c>
      <c r="X160" s="0" t="s">
        <v>3821</v>
      </c>
      <c r="Y160" s="0" t="s">
        <v>3820</v>
      </c>
      <c r="Z160" s="0" t="s">
        <v>3920</v>
      </c>
      <c r="AA160" s="0" t="s">
        <v>3921</v>
      </c>
      <c r="AB160" s="0" t="s">
        <v>3922</v>
      </c>
      <c r="AC160" s="0" t="s">
        <v>64</v>
      </c>
      <c r="AD160" s="0" t="s">
        <v>19</v>
      </c>
      <c r="AE160" s="0" t="s">
        <v>19</v>
      </c>
      <c r="AF160" s="0" t="s">
        <v>3923</v>
      </c>
      <c r="AG160" s="0" t="s">
        <v>3923</v>
      </c>
      <c r="AH160" s="0" t="s">
        <v>22</v>
      </c>
      <c r="AI160" s="0" t="s">
        <v>22</v>
      </c>
      <c r="AJ160" s="0" t="s">
        <v>22</v>
      </c>
      <c r="AK160" s="0" t="s">
        <v>22</v>
      </c>
    </row>
    <row customHeight="1" ht="11.25">
      <c r="A161" s="0" t="s">
        <v>22</v>
      </c>
      <c r="B161" s="0" t="s">
        <v>48</v>
      </c>
      <c r="C161" s="0" t="s">
        <v>50</v>
      </c>
      <c r="D161" s="0" t="s">
        <v>22</v>
      </c>
      <c r="E161" s="0" t="s">
        <v>4195</v>
      </c>
      <c r="F161" s="0" t="s">
        <v>3815</v>
      </c>
      <c r="G161" s="0" t="s">
        <v>139</v>
      </c>
      <c r="H161" s="0" t="s">
        <v>140</v>
      </c>
      <c r="I161" s="0" t="s">
        <v>141</v>
      </c>
      <c r="J161" s="0" t="s">
        <v>3916</v>
      </c>
      <c r="K161" s="0" t="s">
        <v>3924</v>
      </c>
      <c r="L161" s="0" t="s">
        <v>3918</v>
      </c>
      <c r="M161" s="0" t="s">
        <v>3919</v>
      </c>
      <c r="N161" s="0" t="s">
        <v>105</v>
      </c>
      <c r="O161" s="0" t="s">
        <v>139</v>
      </c>
      <c r="P161" s="0" t="s">
        <v>140</v>
      </c>
      <c r="Q161" s="0" t="s">
        <v>141</v>
      </c>
      <c r="R161" s="0" t="s">
        <v>3916</v>
      </c>
      <c r="S161" s="0" t="s">
        <v>3924</v>
      </c>
      <c r="T161" s="0" t="s">
        <v>3819</v>
      </c>
      <c r="U161" s="0" t="s">
        <v>3820</v>
      </c>
      <c r="V161" s="0" t="s">
        <v>713</v>
      </c>
      <c r="W161" s="0" t="s">
        <v>3807</v>
      </c>
      <c r="X161" s="0" t="s">
        <v>3821</v>
      </c>
      <c r="Y161" s="0" t="s">
        <v>3820</v>
      </c>
      <c r="Z161" s="0" t="s">
        <v>3920</v>
      </c>
      <c r="AA161" s="0" t="s">
        <v>3921</v>
      </c>
      <c r="AB161" s="0" t="s">
        <v>3922</v>
      </c>
      <c r="AC161" s="0" t="s">
        <v>64</v>
      </c>
      <c r="AD161" s="0" t="s">
        <v>19</v>
      </c>
      <c r="AE161" s="0" t="s">
        <v>19</v>
      </c>
      <c r="AF161" s="0" t="s">
        <v>3923</v>
      </c>
      <c r="AG161" s="0" t="s">
        <v>3923</v>
      </c>
      <c r="AH161" s="0" t="s">
        <v>22</v>
      </c>
      <c r="AI161" s="0" t="s">
        <v>22</v>
      </c>
      <c r="AJ161" s="0" t="s">
        <v>22</v>
      </c>
      <c r="AK161" s="0" t="s">
        <v>22</v>
      </c>
    </row>
    <row customHeight="1" ht="11.25">
      <c r="A162" s="0" t="s">
        <v>22</v>
      </c>
      <c r="B162" s="0" t="s">
        <v>48</v>
      </c>
      <c r="C162" s="0" t="s">
        <v>50</v>
      </c>
      <c r="D162" s="0" t="s">
        <v>22</v>
      </c>
      <c r="E162" s="0" t="s">
        <v>4196</v>
      </c>
      <c r="F162" s="0" t="s">
        <v>3815</v>
      </c>
      <c r="G162" s="0" t="s">
        <v>118</v>
      </c>
      <c r="H162" s="0" t="s">
        <v>118</v>
      </c>
      <c r="I162" s="0" t="s">
        <v>119</v>
      </c>
      <c r="J162" s="0" t="s">
        <v>3944</v>
      </c>
      <c r="K162" s="0" t="s">
        <v>3945</v>
      </c>
      <c r="L162" s="0" t="s">
        <v>4197</v>
      </c>
      <c r="M162" s="0" t="s">
        <v>4198</v>
      </c>
      <c r="N162" s="0" t="s">
        <v>105</v>
      </c>
      <c r="O162" s="0" t="s">
        <v>3853</v>
      </c>
      <c r="P162" s="0" t="s">
        <v>3853</v>
      </c>
      <c r="Q162" s="0" t="s">
        <v>119</v>
      </c>
      <c r="R162" s="0" t="s">
        <v>3944</v>
      </c>
      <c r="S162" s="0" t="s">
        <v>3945</v>
      </c>
      <c r="T162" s="0" t="s">
        <v>3819</v>
      </c>
      <c r="U162" s="0" t="s">
        <v>3820</v>
      </c>
      <c r="V162" s="0" t="s">
        <v>713</v>
      </c>
      <c r="W162" s="0" t="s">
        <v>3807</v>
      </c>
      <c r="X162" s="0" t="s">
        <v>3821</v>
      </c>
      <c r="Y162" s="0" t="s">
        <v>3820</v>
      </c>
      <c r="Z162" s="0" t="s">
        <v>89</v>
      </c>
      <c r="AA162" s="0" t="s">
        <v>3948</v>
      </c>
      <c r="AB162" s="0" t="s">
        <v>3840</v>
      </c>
      <c r="AC162" s="0" t="s">
        <v>64</v>
      </c>
      <c r="AD162" s="0" t="s">
        <v>19</v>
      </c>
      <c r="AE162" s="0" t="s">
        <v>19</v>
      </c>
      <c r="AF162" s="0" t="s">
        <v>843</v>
      </c>
      <c r="AG162" s="0" t="s">
        <v>514</v>
      </c>
      <c r="AH162" s="0" t="s">
        <v>22</v>
      </c>
      <c r="AI162" s="0" t="s">
        <v>22</v>
      </c>
      <c r="AJ162" s="0" t="s">
        <v>22</v>
      </c>
      <c r="AK162" s="0" t="s">
        <v>22</v>
      </c>
    </row>
    <row customHeight="1" ht="11.25">
      <c r="A163" s="0" t="s">
        <v>22</v>
      </c>
      <c r="B163" s="0" t="s">
        <v>48</v>
      </c>
      <c r="C163" s="0" t="s">
        <v>50</v>
      </c>
      <c r="D163" s="0" t="s">
        <v>22</v>
      </c>
      <c r="E163" s="0" t="s">
        <v>4196</v>
      </c>
      <c r="F163" s="0" t="s">
        <v>3815</v>
      </c>
      <c r="G163" s="0" t="s">
        <v>118</v>
      </c>
      <c r="H163" s="0" t="s">
        <v>118</v>
      </c>
      <c r="I163" s="0" t="s">
        <v>119</v>
      </c>
      <c r="J163" s="0" t="s">
        <v>3944</v>
      </c>
      <c r="K163" s="0" t="s">
        <v>3945</v>
      </c>
      <c r="L163" s="0" t="s">
        <v>4197</v>
      </c>
      <c r="M163" s="0" t="s">
        <v>4198</v>
      </c>
      <c r="N163" s="0" t="s">
        <v>105</v>
      </c>
      <c r="O163" s="0" t="s">
        <v>3853</v>
      </c>
      <c r="P163" s="0" t="s">
        <v>3853</v>
      </c>
      <c r="Q163" s="0" t="s">
        <v>119</v>
      </c>
      <c r="R163" s="0" t="s">
        <v>3944</v>
      </c>
      <c r="S163" s="0" t="s">
        <v>3945</v>
      </c>
      <c r="T163" s="0" t="s">
        <v>3819</v>
      </c>
      <c r="U163" s="0" t="s">
        <v>3820</v>
      </c>
      <c r="V163" s="0" t="s">
        <v>713</v>
      </c>
      <c r="W163" s="0" t="s">
        <v>3807</v>
      </c>
      <c r="X163" s="0" t="s">
        <v>3821</v>
      </c>
      <c r="Y163" s="0" t="s">
        <v>3820</v>
      </c>
      <c r="Z163" s="0" t="s">
        <v>89</v>
      </c>
      <c r="AA163" s="0" t="s">
        <v>3948</v>
      </c>
      <c r="AB163" s="0" t="s">
        <v>3840</v>
      </c>
      <c r="AC163" s="0" t="s">
        <v>64</v>
      </c>
      <c r="AD163" s="0" t="s">
        <v>19</v>
      </c>
      <c r="AE163" s="0" t="s">
        <v>19</v>
      </c>
      <c r="AF163" s="0" t="s">
        <v>843</v>
      </c>
      <c r="AG163" s="0" t="s">
        <v>514</v>
      </c>
      <c r="AH163" s="0" t="s">
        <v>22</v>
      </c>
      <c r="AI163" s="0" t="s">
        <v>22</v>
      </c>
      <c r="AJ163" s="0" t="s">
        <v>22</v>
      </c>
      <c r="AK163" s="0" t="s">
        <v>22</v>
      </c>
    </row>
    <row customHeight="1" ht="11.25">
      <c r="A164" s="0" t="s">
        <v>22</v>
      </c>
      <c r="B164" s="0" t="s">
        <v>48</v>
      </c>
      <c r="C164" s="0" t="s">
        <v>50</v>
      </c>
      <c r="D164" s="0" t="s">
        <v>22</v>
      </c>
      <c r="E164" s="0" t="s">
        <v>4199</v>
      </c>
      <c r="F164" s="0" t="s">
        <v>3815</v>
      </c>
      <c r="G164" s="0" t="s">
        <v>150</v>
      </c>
      <c r="H164" s="0" t="s">
        <v>150</v>
      </c>
      <c r="I164" s="0" t="s">
        <v>151</v>
      </c>
      <c r="J164" s="0" t="s">
        <v>3897</v>
      </c>
      <c r="K164" s="0" t="s">
        <v>3898</v>
      </c>
      <c r="L164" s="0" t="s">
        <v>4200</v>
      </c>
      <c r="M164" s="0" t="s">
        <v>4201</v>
      </c>
      <c r="N164" s="0" t="s">
        <v>105</v>
      </c>
      <c r="O164" s="0" t="s">
        <v>150</v>
      </c>
      <c r="P164" s="0" t="s">
        <v>150</v>
      </c>
      <c r="Q164" s="0" t="s">
        <v>151</v>
      </c>
      <c r="R164" s="0" t="s">
        <v>3897</v>
      </c>
      <c r="S164" s="0" t="s">
        <v>3898</v>
      </c>
      <c r="T164" s="0" t="s">
        <v>3819</v>
      </c>
      <c r="U164" s="0" t="s">
        <v>3820</v>
      </c>
      <c r="V164" s="0" t="s">
        <v>713</v>
      </c>
      <c r="W164" s="0" t="s">
        <v>3807</v>
      </c>
      <c r="X164" s="0" t="s">
        <v>3821</v>
      </c>
      <c r="Y164" s="0" t="s">
        <v>3820</v>
      </c>
      <c r="Z164" s="0" t="s">
        <v>4077</v>
      </c>
      <c r="AA164" s="0" t="s">
        <v>3901</v>
      </c>
      <c r="AB164" s="0" t="s">
        <v>4079</v>
      </c>
      <c r="AC164" s="0" t="s">
        <v>64</v>
      </c>
      <c r="AD164" s="0" t="s">
        <v>19</v>
      </c>
      <c r="AE164" s="0" t="s">
        <v>19</v>
      </c>
      <c r="AF164" s="0" t="s">
        <v>1953</v>
      </c>
      <c r="AG164" s="0" t="s">
        <v>4202</v>
      </c>
      <c r="AH164" s="0" t="s">
        <v>22</v>
      </c>
      <c r="AI164" s="0" t="s">
        <v>22</v>
      </c>
      <c r="AJ164" s="0" t="s">
        <v>22</v>
      </c>
      <c r="AK164" s="0" t="s">
        <v>22</v>
      </c>
    </row>
    <row customHeight="1" ht="11.25">
      <c r="A165" s="0" t="s">
        <v>22</v>
      </c>
      <c r="B165" s="0" t="s">
        <v>48</v>
      </c>
      <c r="C165" s="0" t="s">
        <v>50</v>
      </c>
      <c r="D165" s="0" t="s">
        <v>22</v>
      </c>
      <c r="E165" s="0" t="s">
        <v>4199</v>
      </c>
      <c r="F165" s="0" t="s">
        <v>3815</v>
      </c>
      <c r="G165" s="0" t="s">
        <v>150</v>
      </c>
      <c r="H165" s="0" t="s">
        <v>150</v>
      </c>
      <c r="I165" s="0" t="s">
        <v>151</v>
      </c>
      <c r="J165" s="0" t="s">
        <v>3897</v>
      </c>
      <c r="K165" s="0" t="s">
        <v>3898</v>
      </c>
      <c r="L165" s="0" t="s">
        <v>4200</v>
      </c>
      <c r="M165" s="0" t="s">
        <v>4201</v>
      </c>
      <c r="N165" s="0" t="s">
        <v>105</v>
      </c>
      <c r="O165" s="0" t="s">
        <v>150</v>
      </c>
      <c r="P165" s="0" t="s">
        <v>150</v>
      </c>
      <c r="Q165" s="0" t="s">
        <v>151</v>
      </c>
      <c r="R165" s="0" t="s">
        <v>3897</v>
      </c>
      <c r="S165" s="0" t="s">
        <v>3898</v>
      </c>
      <c r="T165" s="0" t="s">
        <v>3819</v>
      </c>
      <c r="U165" s="0" t="s">
        <v>3820</v>
      </c>
      <c r="V165" s="0" t="s">
        <v>713</v>
      </c>
      <c r="W165" s="0" t="s">
        <v>3807</v>
      </c>
      <c r="X165" s="0" t="s">
        <v>3821</v>
      </c>
      <c r="Y165" s="0" t="s">
        <v>3820</v>
      </c>
      <c r="Z165" s="0" t="s">
        <v>4077</v>
      </c>
      <c r="AA165" s="0" t="s">
        <v>3901</v>
      </c>
      <c r="AB165" s="0" t="s">
        <v>4079</v>
      </c>
      <c r="AC165" s="0" t="s">
        <v>64</v>
      </c>
      <c r="AD165" s="0" t="s">
        <v>19</v>
      </c>
      <c r="AE165" s="0" t="s">
        <v>19</v>
      </c>
      <c r="AF165" s="0" t="s">
        <v>1953</v>
      </c>
      <c r="AG165" s="0" t="s">
        <v>4202</v>
      </c>
      <c r="AH165" s="0" t="s">
        <v>22</v>
      </c>
      <c r="AI165" s="0" t="s">
        <v>22</v>
      </c>
      <c r="AJ165" s="0" t="s">
        <v>22</v>
      </c>
      <c r="AK165" s="0" t="s">
        <v>22</v>
      </c>
    </row>
    <row customHeight="1" ht="11.25">
      <c r="A166" s="0" t="s">
        <v>22</v>
      </c>
      <c r="B166" s="0" t="s">
        <v>48</v>
      </c>
      <c r="C166" s="0" t="s">
        <v>50</v>
      </c>
      <c r="D166" s="0" t="s">
        <v>22</v>
      </c>
      <c r="E166" s="0" t="s">
        <v>4203</v>
      </c>
      <c r="F166" s="0" t="s">
        <v>3815</v>
      </c>
      <c r="G166" s="0" t="s">
        <v>123</v>
      </c>
      <c r="H166" s="0" t="s">
        <v>124</v>
      </c>
      <c r="I166" s="0" t="s">
        <v>125</v>
      </c>
      <c r="J166" s="0" t="s">
        <v>4204</v>
      </c>
      <c r="K166" s="0" t="s">
        <v>4205</v>
      </c>
      <c r="L166" s="0" t="s">
        <v>4146</v>
      </c>
      <c r="M166" s="0" t="s">
        <v>3818</v>
      </c>
      <c r="N166" s="0" t="s">
        <v>105</v>
      </c>
      <c r="O166" s="0" t="s">
        <v>123</v>
      </c>
      <c r="P166" s="0" t="s">
        <v>124</v>
      </c>
      <c r="Q166" s="0" t="s">
        <v>125</v>
      </c>
      <c r="R166" s="0" t="s">
        <v>4204</v>
      </c>
      <c r="S166" s="0" t="s">
        <v>4205</v>
      </c>
      <c r="T166" s="0" t="s">
        <v>3805</v>
      </c>
      <c r="U166" s="0" t="s">
        <v>3806</v>
      </c>
      <c r="V166" s="0" t="s">
        <v>713</v>
      </c>
      <c r="W166" s="0" t="s">
        <v>3807</v>
      </c>
      <c r="X166" s="0" t="s">
        <v>3854</v>
      </c>
      <c r="Y166" s="0" t="s">
        <v>3806</v>
      </c>
      <c r="Z166" s="0" t="s">
        <v>4206</v>
      </c>
      <c r="AA166" s="0" t="s">
        <v>4207</v>
      </c>
      <c r="AB166" s="0" t="s">
        <v>3840</v>
      </c>
      <c r="AC166" s="0" t="s">
        <v>64</v>
      </c>
      <c r="AD166" s="0" t="s">
        <v>19</v>
      </c>
      <c r="AE166" s="0" t="s">
        <v>19</v>
      </c>
      <c r="AF166" s="0" t="s">
        <v>3923</v>
      </c>
      <c r="AG166" s="0" t="s">
        <v>514</v>
      </c>
      <c r="AH166" s="0" t="s">
        <v>22</v>
      </c>
      <c r="AI166" s="0" t="s">
        <v>22</v>
      </c>
      <c r="AJ166" s="0" t="s">
        <v>22</v>
      </c>
      <c r="AK166" s="0" t="s">
        <v>22</v>
      </c>
    </row>
    <row customHeight="1" ht="11.25">
      <c r="A167" s="0" t="s">
        <v>22</v>
      </c>
      <c r="B167" s="0" t="s">
        <v>48</v>
      </c>
      <c r="C167" s="0" t="s">
        <v>50</v>
      </c>
      <c r="D167" s="0" t="s">
        <v>22</v>
      </c>
      <c r="E167" s="0" t="s">
        <v>4203</v>
      </c>
      <c r="F167" s="0" t="s">
        <v>3815</v>
      </c>
      <c r="G167" s="0" t="s">
        <v>123</v>
      </c>
      <c r="H167" s="0" t="s">
        <v>124</v>
      </c>
      <c r="I167" s="0" t="s">
        <v>125</v>
      </c>
      <c r="J167" s="0" t="s">
        <v>4204</v>
      </c>
      <c r="K167" s="0" t="s">
        <v>4205</v>
      </c>
      <c r="L167" s="0" t="s">
        <v>4146</v>
      </c>
      <c r="M167" s="0" t="s">
        <v>3818</v>
      </c>
      <c r="N167" s="0" t="s">
        <v>105</v>
      </c>
      <c r="O167" s="0" t="s">
        <v>123</v>
      </c>
      <c r="P167" s="0" t="s">
        <v>124</v>
      </c>
      <c r="Q167" s="0" t="s">
        <v>125</v>
      </c>
      <c r="R167" s="0" t="s">
        <v>4204</v>
      </c>
      <c r="S167" s="0" t="s">
        <v>4205</v>
      </c>
      <c r="T167" s="0" t="s">
        <v>3805</v>
      </c>
      <c r="U167" s="0" t="s">
        <v>3806</v>
      </c>
      <c r="V167" s="0" t="s">
        <v>713</v>
      </c>
      <c r="W167" s="0" t="s">
        <v>3807</v>
      </c>
      <c r="X167" s="0" t="s">
        <v>3854</v>
      </c>
      <c r="Y167" s="0" t="s">
        <v>3806</v>
      </c>
      <c r="Z167" s="0" t="s">
        <v>4206</v>
      </c>
      <c r="AA167" s="0" t="s">
        <v>4207</v>
      </c>
      <c r="AB167" s="0" t="s">
        <v>3840</v>
      </c>
      <c r="AC167" s="0" t="s">
        <v>64</v>
      </c>
      <c r="AD167" s="0" t="s">
        <v>19</v>
      </c>
      <c r="AE167" s="0" t="s">
        <v>19</v>
      </c>
      <c r="AF167" s="0" t="s">
        <v>3923</v>
      </c>
      <c r="AG167" s="0" t="s">
        <v>514</v>
      </c>
      <c r="AH167" s="0" t="s">
        <v>22</v>
      </c>
      <c r="AI167" s="0" t="s">
        <v>22</v>
      </c>
      <c r="AJ167" s="0" t="s">
        <v>22</v>
      </c>
      <c r="AK167" s="0" t="s">
        <v>22</v>
      </c>
    </row>
    <row customHeight="1" ht="11.25">
      <c r="A168" s="0" t="s">
        <v>22</v>
      </c>
      <c r="B168" s="0" t="s">
        <v>48</v>
      </c>
      <c r="C168" s="0" t="s">
        <v>50</v>
      </c>
      <c r="D168" s="0" t="s">
        <v>22</v>
      </c>
      <c r="E168" s="0" t="s">
        <v>4208</v>
      </c>
      <c r="F168" s="0" t="s">
        <v>3815</v>
      </c>
      <c r="G168" s="0" t="s">
        <v>150</v>
      </c>
      <c r="H168" s="0" t="s">
        <v>150</v>
      </c>
      <c r="I168" s="0" t="s">
        <v>151</v>
      </c>
      <c r="J168" s="0" t="s">
        <v>3897</v>
      </c>
      <c r="K168" s="0" t="s">
        <v>3898</v>
      </c>
      <c r="L168" s="0" t="s">
        <v>4209</v>
      </c>
      <c r="M168" s="0" t="s">
        <v>1862</v>
      </c>
      <c r="N168" s="0" t="s">
        <v>105</v>
      </c>
      <c r="O168" s="0" t="s">
        <v>150</v>
      </c>
      <c r="P168" s="0" t="s">
        <v>150</v>
      </c>
      <c r="Q168" s="0" t="s">
        <v>151</v>
      </c>
      <c r="R168" s="0" t="s">
        <v>3897</v>
      </c>
      <c r="S168" s="0" t="s">
        <v>3898</v>
      </c>
      <c r="T168" s="0" t="s">
        <v>3819</v>
      </c>
      <c r="U168" s="0" t="s">
        <v>3820</v>
      </c>
      <c r="V168" s="0" t="s">
        <v>713</v>
      </c>
      <c r="W168" s="0" t="s">
        <v>3807</v>
      </c>
      <c r="X168" s="0" t="s">
        <v>3821</v>
      </c>
      <c r="Y168" s="0" t="s">
        <v>3820</v>
      </c>
      <c r="Z168" s="0" t="s">
        <v>4077</v>
      </c>
      <c r="AA168" s="0" t="s">
        <v>3901</v>
      </c>
      <c r="AB168" s="0" t="s">
        <v>4079</v>
      </c>
      <c r="AC168" s="0" t="s">
        <v>64</v>
      </c>
      <c r="AD168" s="0" t="s">
        <v>19</v>
      </c>
      <c r="AE168" s="0" t="s">
        <v>19</v>
      </c>
      <c r="AF168" s="0" t="s">
        <v>1953</v>
      </c>
      <c r="AG168" s="0" t="s">
        <v>4202</v>
      </c>
      <c r="AH168" s="0" t="s">
        <v>22</v>
      </c>
      <c r="AI168" s="0" t="s">
        <v>22</v>
      </c>
      <c r="AJ168" s="0" t="s">
        <v>22</v>
      </c>
      <c r="AK168" s="0" t="s">
        <v>22</v>
      </c>
    </row>
    <row customHeight="1" ht="11.25">
      <c r="A169" s="0" t="s">
        <v>22</v>
      </c>
      <c r="B169" s="0" t="s">
        <v>48</v>
      </c>
      <c r="C169" s="0" t="s">
        <v>50</v>
      </c>
      <c r="D169" s="0" t="s">
        <v>22</v>
      </c>
      <c r="E169" s="0" t="s">
        <v>4208</v>
      </c>
      <c r="F169" s="0" t="s">
        <v>3815</v>
      </c>
      <c r="G169" s="0" t="s">
        <v>150</v>
      </c>
      <c r="H169" s="0" t="s">
        <v>150</v>
      </c>
      <c r="I169" s="0" t="s">
        <v>151</v>
      </c>
      <c r="J169" s="0" t="s">
        <v>3897</v>
      </c>
      <c r="K169" s="0" t="s">
        <v>3898</v>
      </c>
      <c r="L169" s="0" t="s">
        <v>4209</v>
      </c>
      <c r="M169" s="0" t="s">
        <v>1862</v>
      </c>
      <c r="N169" s="0" t="s">
        <v>105</v>
      </c>
      <c r="O169" s="0" t="s">
        <v>150</v>
      </c>
      <c r="P169" s="0" t="s">
        <v>150</v>
      </c>
      <c r="Q169" s="0" t="s">
        <v>151</v>
      </c>
      <c r="R169" s="0" t="s">
        <v>3897</v>
      </c>
      <c r="S169" s="0" t="s">
        <v>3898</v>
      </c>
      <c r="T169" s="0" t="s">
        <v>3819</v>
      </c>
      <c r="U169" s="0" t="s">
        <v>3820</v>
      </c>
      <c r="V169" s="0" t="s">
        <v>713</v>
      </c>
      <c r="W169" s="0" t="s">
        <v>3807</v>
      </c>
      <c r="X169" s="0" t="s">
        <v>3821</v>
      </c>
      <c r="Y169" s="0" t="s">
        <v>3820</v>
      </c>
      <c r="Z169" s="0" t="s">
        <v>4077</v>
      </c>
      <c r="AA169" s="0" t="s">
        <v>3901</v>
      </c>
      <c r="AB169" s="0" t="s">
        <v>4079</v>
      </c>
      <c r="AC169" s="0" t="s">
        <v>64</v>
      </c>
      <c r="AD169" s="0" t="s">
        <v>19</v>
      </c>
      <c r="AE169" s="0" t="s">
        <v>19</v>
      </c>
      <c r="AF169" s="0" t="s">
        <v>1953</v>
      </c>
      <c r="AG169" s="0" t="s">
        <v>4202</v>
      </c>
      <c r="AH169" s="0" t="s">
        <v>22</v>
      </c>
      <c r="AI169" s="0" t="s">
        <v>22</v>
      </c>
      <c r="AJ169" s="0" t="s">
        <v>22</v>
      </c>
      <c r="AK169" s="0" t="s">
        <v>22</v>
      </c>
    </row>
    <row customHeight="1" ht="11.25">
      <c r="A170" s="0" t="s">
        <v>22</v>
      </c>
      <c r="B170" s="0" t="s">
        <v>48</v>
      </c>
      <c r="C170" s="0" t="s">
        <v>50</v>
      </c>
      <c r="D170" s="0" t="s">
        <v>22</v>
      </c>
      <c r="E170" s="0" t="s">
        <v>4210</v>
      </c>
      <c r="F170" s="0" t="s">
        <v>3815</v>
      </c>
      <c r="G170" s="0" t="s">
        <v>136</v>
      </c>
      <c r="H170" s="0" t="s">
        <v>136</v>
      </c>
      <c r="I170" s="0" t="s">
        <v>137</v>
      </c>
      <c r="J170" s="0" t="s">
        <v>4211</v>
      </c>
      <c r="K170" s="0" t="s">
        <v>4212</v>
      </c>
      <c r="L170" s="0" t="s">
        <v>4117</v>
      </c>
      <c r="M170" s="0" t="s">
        <v>4047</v>
      </c>
      <c r="N170" s="0" t="s">
        <v>105</v>
      </c>
      <c r="O170" s="0" t="s">
        <v>136</v>
      </c>
      <c r="P170" s="0" t="s">
        <v>136</v>
      </c>
      <c r="Q170" s="0" t="s">
        <v>137</v>
      </c>
      <c r="R170" s="0" t="s">
        <v>4211</v>
      </c>
      <c r="S170" s="0" t="s">
        <v>4212</v>
      </c>
      <c r="T170" s="0" t="s">
        <v>3819</v>
      </c>
      <c r="U170" s="0" t="s">
        <v>3820</v>
      </c>
      <c r="V170" s="0" t="s">
        <v>713</v>
      </c>
      <c r="W170" s="0" t="s">
        <v>3807</v>
      </c>
      <c r="X170" s="0" t="s">
        <v>3821</v>
      </c>
      <c r="Y170" s="0" t="s">
        <v>4009</v>
      </c>
      <c r="Z170" s="0" t="s">
        <v>3920</v>
      </c>
      <c r="AA170" s="0" t="s">
        <v>3921</v>
      </c>
      <c r="AB170" s="0" t="s">
        <v>4182</v>
      </c>
      <c r="AC170" s="0" t="s">
        <v>64</v>
      </c>
      <c r="AD170" s="0" t="s">
        <v>19</v>
      </c>
      <c r="AE170" s="0" t="s">
        <v>19</v>
      </c>
      <c r="AF170" s="0" t="s">
        <v>986</v>
      </c>
      <c r="AG170" s="0" t="s">
        <v>4213</v>
      </c>
      <c r="AH170" s="0" t="s">
        <v>22</v>
      </c>
      <c r="AI170" s="0" t="s">
        <v>22</v>
      </c>
      <c r="AJ170" s="0" t="s">
        <v>22</v>
      </c>
      <c r="AK170" s="0" t="s">
        <v>22</v>
      </c>
    </row>
    <row customHeight="1" ht="11.25">
      <c r="A171" s="0" t="s">
        <v>22</v>
      </c>
      <c r="B171" s="0" t="s">
        <v>48</v>
      </c>
      <c r="C171" s="0" t="s">
        <v>50</v>
      </c>
      <c r="D171" s="0" t="s">
        <v>22</v>
      </c>
      <c r="E171" s="0" t="s">
        <v>4210</v>
      </c>
      <c r="F171" s="0" t="s">
        <v>3815</v>
      </c>
      <c r="G171" s="0" t="s">
        <v>139</v>
      </c>
      <c r="H171" s="0" t="s">
        <v>140</v>
      </c>
      <c r="I171" s="0" t="s">
        <v>141</v>
      </c>
      <c r="J171" s="0" t="s">
        <v>4211</v>
      </c>
      <c r="K171" s="0" t="s">
        <v>4214</v>
      </c>
      <c r="L171" s="0" t="s">
        <v>4117</v>
      </c>
      <c r="M171" s="0" t="s">
        <v>4047</v>
      </c>
      <c r="N171" s="0" t="s">
        <v>105</v>
      </c>
      <c r="O171" s="0" t="s">
        <v>139</v>
      </c>
      <c r="P171" s="0" t="s">
        <v>140</v>
      </c>
      <c r="Q171" s="0" t="s">
        <v>141</v>
      </c>
      <c r="R171" s="0" t="s">
        <v>4211</v>
      </c>
      <c r="S171" s="0" t="s">
        <v>4214</v>
      </c>
      <c r="T171" s="0" t="s">
        <v>3819</v>
      </c>
      <c r="U171" s="0" t="s">
        <v>3820</v>
      </c>
      <c r="V171" s="0" t="s">
        <v>713</v>
      </c>
      <c r="W171" s="0" t="s">
        <v>3807</v>
      </c>
      <c r="X171" s="0" t="s">
        <v>3821</v>
      </c>
      <c r="Y171" s="0" t="s">
        <v>4009</v>
      </c>
      <c r="Z171" s="0" t="s">
        <v>3920</v>
      </c>
      <c r="AA171" s="0" t="s">
        <v>3921</v>
      </c>
      <c r="AB171" s="0" t="s">
        <v>4182</v>
      </c>
      <c r="AC171" s="0" t="s">
        <v>64</v>
      </c>
      <c r="AD171" s="0" t="s">
        <v>19</v>
      </c>
      <c r="AE171" s="0" t="s">
        <v>19</v>
      </c>
      <c r="AF171" s="0" t="s">
        <v>986</v>
      </c>
      <c r="AG171" s="0" t="s">
        <v>4213</v>
      </c>
      <c r="AH171" s="0" t="s">
        <v>22</v>
      </c>
      <c r="AI171" s="0" t="s">
        <v>22</v>
      </c>
      <c r="AJ171" s="0" t="s">
        <v>22</v>
      </c>
      <c r="AK171" s="0" t="s">
        <v>22</v>
      </c>
    </row>
    <row customHeight="1" ht="11.25">
      <c r="A172" s="0" t="s">
        <v>22</v>
      </c>
      <c r="B172" s="0" t="s">
        <v>48</v>
      </c>
      <c r="C172" s="0" t="s">
        <v>50</v>
      </c>
      <c r="D172" s="0" t="s">
        <v>22</v>
      </c>
      <c r="E172" s="0" t="s">
        <v>4215</v>
      </c>
      <c r="F172" s="0" t="s">
        <v>3815</v>
      </c>
      <c r="G172" s="0" t="s">
        <v>136</v>
      </c>
      <c r="H172" s="0" t="s">
        <v>136</v>
      </c>
      <c r="I172" s="0" t="s">
        <v>137</v>
      </c>
      <c r="J172" s="0" t="s">
        <v>4216</v>
      </c>
      <c r="K172" s="0" t="s">
        <v>4217</v>
      </c>
      <c r="L172" s="0" t="s">
        <v>4218</v>
      </c>
      <c r="M172" s="0" t="s">
        <v>133</v>
      </c>
      <c r="N172" s="0" t="s">
        <v>105</v>
      </c>
      <c r="O172" s="0" t="s">
        <v>136</v>
      </c>
      <c r="P172" s="0" t="s">
        <v>136</v>
      </c>
      <c r="Q172" s="0" t="s">
        <v>137</v>
      </c>
      <c r="R172" s="0" t="s">
        <v>4216</v>
      </c>
      <c r="S172" s="0" t="s">
        <v>4217</v>
      </c>
      <c r="T172" s="0" t="s">
        <v>3819</v>
      </c>
      <c r="U172" s="0" t="s">
        <v>3820</v>
      </c>
      <c r="V172" s="0" t="s">
        <v>713</v>
      </c>
      <c r="W172" s="0" t="s">
        <v>3807</v>
      </c>
      <c r="X172" s="0" t="s">
        <v>3821</v>
      </c>
      <c r="Y172" s="0" t="s">
        <v>4009</v>
      </c>
      <c r="Z172" s="0" t="s">
        <v>3920</v>
      </c>
      <c r="AA172" s="0" t="s">
        <v>3921</v>
      </c>
      <c r="AB172" s="0" t="s">
        <v>4182</v>
      </c>
      <c r="AC172" s="0" t="s">
        <v>64</v>
      </c>
      <c r="AD172" s="0" t="s">
        <v>19</v>
      </c>
      <c r="AE172" s="0" t="s">
        <v>19</v>
      </c>
      <c r="AF172" s="0" t="s">
        <v>4219</v>
      </c>
      <c r="AG172" s="0" t="s">
        <v>4213</v>
      </c>
      <c r="AH172" s="0" t="s">
        <v>22</v>
      </c>
      <c r="AI172" s="0" t="s">
        <v>22</v>
      </c>
      <c r="AJ172" s="0" t="s">
        <v>22</v>
      </c>
      <c r="AK172" s="0" t="s">
        <v>22</v>
      </c>
    </row>
    <row customHeight="1" ht="11.25">
      <c r="A173" s="0" t="s">
        <v>22</v>
      </c>
      <c r="B173" s="0" t="s">
        <v>48</v>
      </c>
      <c r="C173" s="0" t="s">
        <v>50</v>
      </c>
      <c r="D173" s="0" t="s">
        <v>22</v>
      </c>
      <c r="E173" s="0" t="s">
        <v>4215</v>
      </c>
      <c r="F173" s="0" t="s">
        <v>3815</v>
      </c>
      <c r="G173" s="0" t="s">
        <v>139</v>
      </c>
      <c r="H173" s="0" t="s">
        <v>140</v>
      </c>
      <c r="I173" s="0" t="s">
        <v>141</v>
      </c>
      <c r="J173" s="0" t="s">
        <v>4216</v>
      </c>
      <c r="K173" s="0" t="s">
        <v>4220</v>
      </c>
      <c r="L173" s="0" t="s">
        <v>4218</v>
      </c>
      <c r="M173" s="0" t="s">
        <v>133</v>
      </c>
      <c r="N173" s="0" t="s">
        <v>105</v>
      </c>
      <c r="O173" s="0" t="s">
        <v>139</v>
      </c>
      <c r="P173" s="0" t="s">
        <v>140</v>
      </c>
      <c r="Q173" s="0" t="s">
        <v>141</v>
      </c>
      <c r="R173" s="0" t="s">
        <v>4216</v>
      </c>
      <c r="S173" s="0" t="s">
        <v>4220</v>
      </c>
      <c r="T173" s="0" t="s">
        <v>3819</v>
      </c>
      <c r="U173" s="0" t="s">
        <v>3820</v>
      </c>
      <c r="V173" s="0" t="s">
        <v>713</v>
      </c>
      <c r="W173" s="0" t="s">
        <v>3807</v>
      </c>
      <c r="X173" s="0" t="s">
        <v>3821</v>
      </c>
      <c r="Y173" s="0" t="s">
        <v>4009</v>
      </c>
      <c r="Z173" s="0" t="s">
        <v>3920</v>
      </c>
      <c r="AA173" s="0" t="s">
        <v>3921</v>
      </c>
      <c r="AB173" s="0" t="s">
        <v>4182</v>
      </c>
      <c r="AC173" s="0" t="s">
        <v>64</v>
      </c>
      <c r="AD173" s="0" t="s">
        <v>19</v>
      </c>
      <c r="AE173" s="0" t="s">
        <v>19</v>
      </c>
      <c r="AF173" s="0" t="s">
        <v>4219</v>
      </c>
      <c r="AG173" s="0" t="s">
        <v>4213</v>
      </c>
      <c r="AH173" s="0" t="s">
        <v>22</v>
      </c>
      <c r="AI173" s="0" t="s">
        <v>22</v>
      </c>
      <c r="AJ173" s="0" t="s">
        <v>22</v>
      </c>
      <c r="AK173" s="0" t="s">
        <v>22</v>
      </c>
    </row>
    <row customHeight="1" ht="11.25">
      <c r="A174" s="0" t="s">
        <v>22</v>
      </c>
      <c r="B174" s="0" t="s">
        <v>48</v>
      </c>
      <c r="C174" s="0" t="s">
        <v>50</v>
      </c>
      <c r="D174" s="0" t="s">
        <v>22</v>
      </c>
      <c r="E174" s="0" t="s">
        <v>4221</v>
      </c>
      <c r="F174" s="0" t="s">
        <v>3815</v>
      </c>
      <c r="G174" s="0" t="s">
        <v>118</v>
      </c>
      <c r="H174" s="0" t="s">
        <v>118</v>
      </c>
      <c r="I174" s="0" t="s">
        <v>119</v>
      </c>
      <c r="J174" s="0" t="s">
        <v>3944</v>
      </c>
      <c r="K174" s="0" t="s">
        <v>3945</v>
      </c>
      <c r="L174" s="0" t="s">
        <v>3946</v>
      </c>
      <c r="M174" s="0" t="s">
        <v>3947</v>
      </c>
      <c r="N174" s="0" t="s">
        <v>105</v>
      </c>
      <c r="O174" s="0" t="s">
        <v>3853</v>
      </c>
      <c r="P174" s="0" t="s">
        <v>3853</v>
      </c>
      <c r="Q174" s="0" t="s">
        <v>119</v>
      </c>
      <c r="R174" s="0" t="s">
        <v>3944</v>
      </c>
      <c r="S174" s="0" t="s">
        <v>3945</v>
      </c>
      <c r="T174" s="0" t="s">
        <v>3819</v>
      </c>
      <c r="U174" s="0" t="s">
        <v>3820</v>
      </c>
      <c r="V174" s="0" t="s">
        <v>713</v>
      </c>
      <c r="W174" s="0" t="s">
        <v>3807</v>
      </c>
      <c r="X174" s="0" t="s">
        <v>3821</v>
      </c>
      <c r="Y174" s="0" t="s">
        <v>3820</v>
      </c>
      <c r="Z174" s="0" t="s">
        <v>89</v>
      </c>
      <c r="AA174" s="0" t="s">
        <v>3948</v>
      </c>
      <c r="AB174" s="0" t="s">
        <v>3840</v>
      </c>
      <c r="AC174" s="0" t="s">
        <v>64</v>
      </c>
      <c r="AD174" s="0" t="s">
        <v>19</v>
      </c>
      <c r="AE174" s="0" t="s">
        <v>19</v>
      </c>
      <c r="AF174" s="0" t="s">
        <v>3923</v>
      </c>
      <c r="AG174" s="0" t="s">
        <v>928</v>
      </c>
      <c r="AH174" s="0" t="s">
        <v>22</v>
      </c>
      <c r="AI174" s="0" t="s">
        <v>22</v>
      </c>
      <c r="AJ174" s="0" t="s">
        <v>22</v>
      </c>
      <c r="AK174" s="0" t="s">
        <v>22</v>
      </c>
    </row>
    <row customHeight="1" ht="11.25">
      <c r="A175" s="0" t="s">
        <v>22</v>
      </c>
      <c r="B175" s="0" t="s">
        <v>48</v>
      </c>
      <c r="C175" s="0" t="s">
        <v>50</v>
      </c>
      <c r="D175" s="0" t="s">
        <v>22</v>
      </c>
      <c r="E175" s="0" t="s">
        <v>4221</v>
      </c>
      <c r="F175" s="0" t="s">
        <v>3815</v>
      </c>
      <c r="G175" s="0" t="s">
        <v>118</v>
      </c>
      <c r="H175" s="0" t="s">
        <v>118</v>
      </c>
      <c r="I175" s="0" t="s">
        <v>119</v>
      </c>
      <c r="J175" s="0" t="s">
        <v>3944</v>
      </c>
      <c r="K175" s="0" t="s">
        <v>3945</v>
      </c>
      <c r="L175" s="0" t="s">
        <v>3946</v>
      </c>
      <c r="M175" s="0" t="s">
        <v>3947</v>
      </c>
      <c r="N175" s="0" t="s">
        <v>105</v>
      </c>
      <c r="O175" s="0" t="s">
        <v>3853</v>
      </c>
      <c r="P175" s="0" t="s">
        <v>3853</v>
      </c>
      <c r="Q175" s="0" t="s">
        <v>119</v>
      </c>
      <c r="R175" s="0" t="s">
        <v>3944</v>
      </c>
      <c r="S175" s="0" t="s">
        <v>3945</v>
      </c>
      <c r="T175" s="0" t="s">
        <v>3819</v>
      </c>
      <c r="U175" s="0" t="s">
        <v>3820</v>
      </c>
      <c r="V175" s="0" t="s">
        <v>713</v>
      </c>
      <c r="W175" s="0" t="s">
        <v>3807</v>
      </c>
      <c r="X175" s="0" t="s">
        <v>3821</v>
      </c>
      <c r="Y175" s="0" t="s">
        <v>3820</v>
      </c>
      <c r="Z175" s="0" t="s">
        <v>89</v>
      </c>
      <c r="AA175" s="0" t="s">
        <v>3948</v>
      </c>
      <c r="AB175" s="0" t="s">
        <v>3840</v>
      </c>
      <c r="AC175" s="0" t="s">
        <v>64</v>
      </c>
      <c r="AD175" s="0" t="s">
        <v>19</v>
      </c>
      <c r="AE175" s="0" t="s">
        <v>19</v>
      </c>
      <c r="AF175" s="0" t="s">
        <v>3923</v>
      </c>
      <c r="AG175" s="0" t="s">
        <v>928</v>
      </c>
      <c r="AH175" s="0" t="s">
        <v>22</v>
      </c>
      <c r="AI175" s="0" t="s">
        <v>22</v>
      </c>
      <c r="AJ175" s="0" t="s">
        <v>22</v>
      </c>
      <c r="AK175" s="0" t="s">
        <v>22</v>
      </c>
    </row>
    <row customHeight="1" ht="11.25">
      <c r="A176" s="0" t="s">
        <v>22</v>
      </c>
      <c r="B176" s="0" t="s">
        <v>48</v>
      </c>
      <c r="C176" s="0" t="s">
        <v>50</v>
      </c>
      <c r="D176" s="0" t="s">
        <v>22</v>
      </c>
      <c r="E176" s="0" t="s">
        <v>4222</v>
      </c>
      <c r="F176" s="0" t="s">
        <v>3815</v>
      </c>
      <c r="G176" s="0" t="s">
        <v>99</v>
      </c>
      <c r="H176" s="0" t="s">
        <v>99</v>
      </c>
      <c r="I176" s="0" t="s">
        <v>100</v>
      </c>
      <c r="J176" s="0" t="s">
        <v>4081</v>
      </c>
      <c r="K176" s="0" t="s">
        <v>4082</v>
      </c>
      <c r="L176" s="0" t="s">
        <v>3918</v>
      </c>
      <c r="M176" s="0" t="s">
        <v>4223</v>
      </c>
      <c r="N176" s="0" t="s">
        <v>105</v>
      </c>
      <c r="O176" s="0" t="s">
        <v>99</v>
      </c>
      <c r="P176" s="0" t="s">
        <v>99</v>
      </c>
      <c r="Q176" s="0" t="s">
        <v>100</v>
      </c>
      <c r="R176" s="0" t="s">
        <v>4081</v>
      </c>
      <c r="S176" s="0" t="s">
        <v>4082</v>
      </c>
      <c r="T176" s="0" t="s">
        <v>3819</v>
      </c>
      <c r="U176" s="0" t="s">
        <v>3820</v>
      </c>
      <c r="V176" s="0" t="s">
        <v>713</v>
      </c>
      <c r="W176" s="0" t="s">
        <v>3807</v>
      </c>
      <c r="X176" s="0" t="s">
        <v>3821</v>
      </c>
      <c r="Y176" s="0" t="s">
        <v>3820</v>
      </c>
      <c r="Z176" s="0" t="s">
        <v>4083</v>
      </c>
      <c r="AA176" s="0" t="s">
        <v>3875</v>
      </c>
      <c r="AB176" s="0" t="s">
        <v>3840</v>
      </c>
      <c r="AC176" s="0" t="s">
        <v>64</v>
      </c>
      <c r="AD176" s="0" t="s">
        <v>19</v>
      </c>
      <c r="AE176" s="0" t="s">
        <v>19</v>
      </c>
      <c r="AF176" s="0" t="s">
        <v>91</v>
      </c>
      <c r="AG176" s="0" t="s">
        <v>514</v>
      </c>
      <c r="AH176" s="0" t="s">
        <v>22</v>
      </c>
      <c r="AI176" s="0" t="s">
        <v>22</v>
      </c>
      <c r="AJ176" s="0" t="s">
        <v>22</v>
      </c>
      <c r="AK176" s="0" t="s">
        <v>22</v>
      </c>
    </row>
    <row customHeight="1" ht="11.25">
      <c r="A177" s="0" t="s">
        <v>22</v>
      </c>
      <c r="B177" s="0" t="s">
        <v>48</v>
      </c>
      <c r="C177" s="0" t="s">
        <v>50</v>
      </c>
      <c r="D177" s="0" t="s">
        <v>22</v>
      </c>
      <c r="E177" s="0" t="s">
        <v>4222</v>
      </c>
      <c r="F177" s="0" t="s">
        <v>3815</v>
      </c>
      <c r="G177" s="0" t="s">
        <v>99</v>
      </c>
      <c r="H177" s="0" t="s">
        <v>99</v>
      </c>
      <c r="I177" s="0" t="s">
        <v>100</v>
      </c>
      <c r="J177" s="0" t="s">
        <v>4081</v>
      </c>
      <c r="K177" s="0" t="s">
        <v>4082</v>
      </c>
      <c r="L177" s="0" t="s">
        <v>3918</v>
      </c>
      <c r="M177" s="0" t="s">
        <v>4223</v>
      </c>
      <c r="N177" s="0" t="s">
        <v>105</v>
      </c>
      <c r="O177" s="0" t="s">
        <v>99</v>
      </c>
      <c r="P177" s="0" t="s">
        <v>99</v>
      </c>
      <c r="Q177" s="0" t="s">
        <v>100</v>
      </c>
      <c r="R177" s="0" t="s">
        <v>4081</v>
      </c>
      <c r="S177" s="0" t="s">
        <v>4082</v>
      </c>
      <c r="T177" s="0" t="s">
        <v>3819</v>
      </c>
      <c r="U177" s="0" t="s">
        <v>3820</v>
      </c>
      <c r="V177" s="0" t="s">
        <v>713</v>
      </c>
      <c r="W177" s="0" t="s">
        <v>3807</v>
      </c>
      <c r="X177" s="0" t="s">
        <v>3821</v>
      </c>
      <c r="Y177" s="0" t="s">
        <v>3820</v>
      </c>
      <c r="Z177" s="0" t="s">
        <v>4083</v>
      </c>
      <c r="AA177" s="0" t="s">
        <v>3875</v>
      </c>
      <c r="AB177" s="0" t="s">
        <v>3840</v>
      </c>
      <c r="AC177" s="0" t="s">
        <v>64</v>
      </c>
      <c r="AD177" s="0" t="s">
        <v>19</v>
      </c>
      <c r="AE177" s="0" t="s">
        <v>19</v>
      </c>
      <c r="AF177" s="0" t="s">
        <v>91</v>
      </c>
      <c r="AG177" s="0" t="s">
        <v>514</v>
      </c>
      <c r="AH177" s="0" t="s">
        <v>22</v>
      </c>
      <c r="AI177" s="0" t="s">
        <v>22</v>
      </c>
      <c r="AJ177" s="0" t="s">
        <v>22</v>
      </c>
      <c r="AK177" s="0" t="s">
        <v>22</v>
      </c>
    </row>
    <row customHeight="1" ht="11.25">
      <c r="A178" s="0" t="s">
        <v>22</v>
      </c>
      <c r="B178" s="0" t="s">
        <v>48</v>
      </c>
      <c r="C178" s="0" t="s">
        <v>50</v>
      </c>
      <c r="D178" s="0" t="s">
        <v>22</v>
      </c>
      <c r="E178" s="0" t="s">
        <v>4224</v>
      </c>
      <c r="F178" s="0" t="s">
        <v>3815</v>
      </c>
      <c r="G178" s="0" t="s">
        <v>150</v>
      </c>
      <c r="H178" s="0" t="s">
        <v>150</v>
      </c>
      <c r="I178" s="0" t="s">
        <v>151</v>
      </c>
      <c r="J178" s="0" t="s">
        <v>3897</v>
      </c>
      <c r="K178" s="0" t="s">
        <v>3898</v>
      </c>
      <c r="L178" s="0" t="s">
        <v>3818</v>
      </c>
      <c r="M178" s="0" t="s">
        <v>3818</v>
      </c>
      <c r="N178" s="0" t="s">
        <v>105</v>
      </c>
      <c r="O178" s="0" t="s">
        <v>150</v>
      </c>
      <c r="P178" s="0" t="s">
        <v>150</v>
      </c>
      <c r="Q178" s="0" t="s">
        <v>151</v>
      </c>
      <c r="R178" s="0" t="s">
        <v>3897</v>
      </c>
      <c r="S178" s="0" t="s">
        <v>3898</v>
      </c>
      <c r="T178" s="0" t="s">
        <v>3819</v>
      </c>
      <c r="U178" s="0" t="s">
        <v>3820</v>
      </c>
      <c r="V178" s="0" t="s">
        <v>713</v>
      </c>
      <c r="W178" s="0" t="s">
        <v>3807</v>
      </c>
      <c r="X178" s="0" t="s">
        <v>3821</v>
      </c>
      <c r="Y178" s="0" t="s">
        <v>3820</v>
      </c>
      <c r="Z178" s="0" t="s">
        <v>4077</v>
      </c>
      <c r="AA178" s="0" t="s">
        <v>3901</v>
      </c>
      <c r="AB178" s="0" t="s">
        <v>4079</v>
      </c>
      <c r="AC178" s="0" t="s">
        <v>64</v>
      </c>
      <c r="AD178" s="0" t="s">
        <v>19</v>
      </c>
      <c r="AE178" s="0" t="s">
        <v>19</v>
      </c>
      <c r="AF178" s="0" t="s">
        <v>4225</v>
      </c>
      <c r="AG178" s="0" t="s">
        <v>4226</v>
      </c>
      <c r="AH178" s="0" t="s">
        <v>22</v>
      </c>
      <c r="AI178" s="0" t="s">
        <v>22</v>
      </c>
      <c r="AJ178" s="0" t="s">
        <v>22</v>
      </c>
      <c r="AK178" s="0" t="s">
        <v>22</v>
      </c>
    </row>
    <row customHeight="1" ht="11.25">
      <c r="A179" s="0" t="s">
        <v>22</v>
      </c>
      <c r="B179" s="0" t="s">
        <v>48</v>
      </c>
      <c r="C179" s="0" t="s">
        <v>50</v>
      </c>
      <c r="D179" s="0" t="s">
        <v>22</v>
      </c>
      <c r="E179" s="0" t="s">
        <v>4224</v>
      </c>
      <c r="F179" s="0" t="s">
        <v>3815</v>
      </c>
      <c r="G179" s="0" t="s">
        <v>150</v>
      </c>
      <c r="H179" s="0" t="s">
        <v>150</v>
      </c>
      <c r="I179" s="0" t="s">
        <v>151</v>
      </c>
      <c r="J179" s="0" t="s">
        <v>3897</v>
      </c>
      <c r="K179" s="0" t="s">
        <v>3898</v>
      </c>
      <c r="L179" s="0" t="s">
        <v>3818</v>
      </c>
      <c r="M179" s="0" t="s">
        <v>3818</v>
      </c>
      <c r="N179" s="0" t="s">
        <v>105</v>
      </c>
      <c r="O179" s="0" t="s">
        <v>150</v>
      </c>
      <c r="P179" s="0" t="s">
        <v>150</v>
      </c>
      <c r="Q179" s="0" t="s">
        <v>151</v>
      </c>
      <c r="R179" s="0" t="s">
        <v>3897</v>
      </c>
      <c r="S179" s="0" t="s">
        <v>3898</v>
      </c>
      <c r="T179" s="0" t="s">
        <v>3819</v>
      </c>
      <c r="U179" s="0" t="s">
        <v>3820</v>
      </c>
      <c r="V179" s="0" t="s">
        <v>713</v>
      </c>
      <c r="W179" s="0" t="s">
        <v>3807</v>
      </c>
      <c r="X179" s="0" t="s">
        <v>3821</v>
      </c>
      <c r="Y179" s="0" t="s">
        <v>3820</v>
      </c>
      <c r="Z179" s="0" t="s">
        <v>4077</v>
      </c>
      <c r="AA179" s="0" t="s">
        <v>3901</v>
      </c>
      <c r="AB179" s="0" t="s">
        <v>4079</v>
      </c>
      <c r="AC179" s="0" t="s">
        <v>64</v>
      </c>
      <c r="AD179" s="0" t="s">
        <v>19</v>
      </c>
      <c r="AE179" s="0" t="s">
        <v>19</v>
      </c>
      <c r="AF179" s="0" t="s">
        <v>4225</v>
      </c>
      <c r="AG179" s="0" t="s">
        <v>4226</v>
      </c>
      <c r="AH179" s="0" t="s">
        <v>22</v>
      </c>
      <c r="AI179" s="0" t="s">
        <v>22</v>
      </c>
      <c r="AJ179" s="0" t="s">
        <v>22</v>
      </c>
      <c r="AK179" s="0" t="s">
        <v>22</v>
      </c>
    </row>
    <row customHeight="1" ht="11.25">
      <c r="A180" s="0" t="s">
        <v>22</v>
      </c>
      <c r="B180" s="0" t="s">
        <v>48</v>
      </c>
      <c r="C180" s="0" t="s">
        <v>50</v>
      </c>
      <c r="D180" s="0" t="s">
        <v>22</v>
      </c>
      <c r="E180" s="0" t="s">
        <v>4227</v>
      </c>
      <c r="F180" s="0" t="s">
        <v>3815</v>
      </c>
      <c r="G180" s="0" t="s">
        <v>150</v>
      </c>
      <c r="H180" s="0" t="s">
        <v>150</v>
      </c>
      <c r="I180" s="0" t="s">
        <v>151</v>
      </c>
      <c r="J180" s="0" t="s">
        <v>3897</v>
      </c>
      <c r="K180" s="0" t="s">
        <v>3898</v>
      </c>
      <c r="L180" s="0" t="s">
        <v>3818</v>
      </c>
      <c r="M180" s="0" t="s">
        <v>3818</v>
      </c>
      <c r="N180" s="0" t="s">
        <v>105</v>
      </c>
      <c r="O180" s="0" t="s">
        <v>150</v>
      </c>
      <c r="P180" s="0" t="s">
        <v>150</v>
      </c>
      <c r="Q180" s="0" t="s">
        <v>151</v>
      </c>
      <c r="R180" s="0" t="s">
        <v>3897</v>
      </c>
      <c r="S180" s="0" t="s">
        <v>3898</v>
      </c>
      <c r="T180" s="0" t="s">
        <v>3819</v>
      </c>
      <c r="U180" s="0" t="s">
        <v>3820</v>
      </c>
      <c r="V180" s="0" t="s">
        <v>713</v>
      </c>
      <c r="W180" s="0" t="s">
        <v>3807</v>
      </c>
      <c r="X180" s="0" t="s">
        <v>3821</v>
      </c>
      <c r="Y180" s="0" t="s">
        <v>3820</v>
      </c>
      <c r="Z180" s="0" t="s">
        <v>4077</v>
      </c>
      <c r="AA180" s="0" t="s">
        <v>3901</v>
      </c>
      <c r="AB180" s="0" t="s">
        <v>4079</v>
      </c>
      <c r="AC180" s="0" t="s">
        <v>64</v>
      </c>
      <c r="AD180" s="0" t="s">
        <v>19</v>
      </c>
      <c r="AE180" s="0" t="s">
        <v>19</v>
      </c>
      <c r="AF180" s="0" t="s">
        <v>4225</v>
      </c>
      <c r="AG180" s="0" t="s">
        <v>4228</v>
      </c>
      <c r="AH180" s="0" t="s">
        <v>22</v>
      </c>
      <c r="AI180" s="0" t="s">
        <v>22</v>
      </c>
      <c r="AJ180" s="0" t="s">
        <v>22</v>
      </c>
      <c r="AK180" s="0" t="s">
        <v>22</v>
      </c>
    </row>
    <row customHeight="1" ht="11.25">
      <c r="A181" s="0" t="s">
        <v>22</v>
      </c>
      <c r="B181" s="0" t="s">
        <v>48</v>
      </c>
      <c r="C181" s="0" t="s">
        <v>50</v>
      </c>
      <c r="D181" s="0" t="s">
        <v>22</v>
      </c>
      <c r="E181" s="0" t="s">
        <v>4227</v>
      </c>
      <c r="F181" s="0" t="s">
        <v>3815</v>
      </c>
      <c r="G181" s="0" t="s">
        <v>150</v>
      </c>
      <c r="H181" s="0" t="s">
        <v>150</v>
      </c>
      <c r="I181" s="0" t="s">
        <v>151</v>
      </c>
      <c r="J181" s="0" t="s">
        <v>3897</v>
      </c>
      <c r="K181" s="0" t="s">
        <v>3898</v>
      </c>
      <c r="L181" s="0" t="s">
        <v>3818</v>
      </c>
      <c r="M181" s="0" t="s">
        <v>3818</v>
      </c>
      <c r="N181" s="0" t="s">
        <v>105</v>
      </c>
      <c r="O181" s="0" t="s">
        <v>150</v>
      </c>
      <c r="P181" s="0" t="s">
        <v>150</v>
      </c>
      <c r="Q181" s="0" t="s">
        <v>151</v>
      </c>
      <c r="R181" s="0" t="s">
        <v>3897</v>
      </c>
      <c r="S181" s="0" t="s">
        <v>3898</v>
      </c>
      <c r="T181" s="0" t="s">
        <v>3819</v>
      </c>
      <c r="U181" s="0" t="s">
        <v>3820</v>
      </c>
      <c r="V181" s="0" t="s">
        <v>713</v>
      </c>
      <c r="W181" s="0" t="s">
        <v>3807</v>
      </c>
      <c r="X181" s="0" t="s">
        <v>3821</v>
      </c>
      <c r="Y181" s="0" t="s">
        <v>3820</v>
      </c>
      <c r="Z181" s="0" t="s">
        <v>4077</v>
      </c>
      <c r="AA181" s="0" t="s">
        <v>3901</v>
      </c>
      <c r="AB181" s="0" t="s">
        <v>4079</v>
      </c>
      <c r="AC181" s="0" t="s">
        <v>64</v>
      </c>
      <c r="AD181" s="0" t="s">
        <v>19</v>
      </c>
      <c r="AE181" s="0" t="s">
        <v>19</v>
      </c>
      <c r="AF181" s="0" t="s">
        <v>4225</v>
      </c>
      <c r="AG181" s="0" t="s">
        <v>4228</v>
      </c>
      <c r="AH181" s="0" t="s">
        <v>22</v>
      </c>
      <c r="AI181" s="0" t="s">
        <v>22</v>
      </c>
      <c r="AJ181" s="0" t="s">
        <v>22</v>
      </c>
      <c r="AK181" s="0" t="s">
        <v>22</v>
      </c>
    </row>
    <row customHeight="1" ht="11.25">
      <c r="A182" s="0" t="s">
        <v>22</v>
      </c>
      <c r="B182" s="0" t="s">
        <v>48</v>
      </c>
      <c r="C182" s="0" t="s">
        <v>50</v>
      </c>
      <c r="D182" s="0" t="s">
        <v>22</v>
      </c>
      <c r="E182" s="0" t="s">
        <v>4229</v>
      </c>
      <c r="F182" s="0" t="s">
        <v>3815</v>
      </c>
      <c r="G182" s="0" t="s">
        <v>150</v>
      </c>
      <c r="H182" s="0" t="s">
        <v>150</v>
      </c>
      <c r="I182" s="0" t="s">
        <v>151</v>
      </c>
      <c r="J182" s="0" t="s">
        <v>3897</v>
      </c>
      <c r="K182" s="0" t="s">
        <v>3898</v>
      </c>
      <c r="L182" s="0" t="s">
        <v>3818</v>
      </c>
      <c r="M182" s="0" t="s">
        <v>3818</v>
      </c>
      <c r="N182" s="0" t="s">
        <v>105</v>
      </c>
      <c r="O182" s="0" t="s">
        <v>150</v>
      </c>
      <c r="P182" s="0" t="s">
        <v>150</v>
      </c>
      <c r="Q182" s="0" t="s">
        <v>151</v>
      </c>
      <c r="R182" s="0" t="s">
        <v>3897</v>
      </c>
      <c r="S182" s="0" t="s">
        <v>3898</v>
      </c>
      <c r="T182" s="0" t="s">
        <v>3819</v>
      </c>
      <c r="U182" s="0" t="s">
        <v>3820</v>
      </c>
      <c r="V182" s="0" t="s">
        <v>713</v>
      </c>
      <c r="W182" s="0" t="s">
        <v>3807</v>
      </c>
      <c r="X182" s="0" t="s">
        <v>3821</v>
      </c>
      <c r="Y182" s="0" t="s">
        <v>3820</v>
      </c>
      <c r="Z182" s="0" t="s">
        <v>4077</v>
      </c>
      <c r="AA182" s="0" t="s">
        <v>3901</v>
      </c>
      <c r="AB182" s="0" t="s">
        <v>4079</v>
      </c>
      <c r="AC182" s="0" t="s">
        <v>64</v>
      </c>
      <c r="AD182" s="0" t="s">
        <v>19</v>
      </c>
      <c r="AE182" s="0" t="s">
        <v>19</v>
      </c>
      <c r="AF182" s="0" t="s">
        <v>1953</v>
      </c>
      <c r="AG182" s="0" t="s">
        <v>514</v>
      </c>
      <c r="AH182" s="0" t="s">
        <v>22</v>
      </c>
      <c r="AI182" s="0" t="s">
        <v>22</v>
      </c>
      <c r="AJ182" s="0" t="s">
        <v>22</v>
      </c>
      <c r="AK182" s="0" t="s">
        <v>22</v>
      </c>
    </row>
    <row customHeight="1" ht="11.25">
      <c r="A183" s="0" t="s">
        <v>22</v>
      </c>
      <c r="B183" s="0" t="s">
        <v>48</v>
      </c>
      <c r="C183" s="0" t="s">
        <v>50</v>
      </c>
      <c r="D183" s="0" t="s">
        <v>22</v>
      </c>
      <c r="E183" s="0" t="s">
        <v>4229</v>
      </c>
      <c r="F183" s="0" t="s">
        <v>3815</v>
      </c>
      <c r="G183" s="0" t="s">
        <v>150</v>
      </c>
      <c r="H183" s="0" t="s">
        <v>150</v>
      </c>
      <c r="I183" s="0" t="s">
        <v>151</v>
      </c>
      <c r="J183" s="0" t="s">
        <v>3897</v>
      </c>
      <c r="K183" s="0" t="s">
        <v>3898</v>
      </c>
      <c r="L183" s="0" t="s">
        <v>3818</v>
      </c>
      <c r="M183" s="0" t="s">
        <v>3818</v>
      </c>
      <c r="N183" s="0" t="s">
        <v>105</v>
      </c>
      <c r="O183" s="0" t="s">
        <v>150</v>
      </c>
      <c r="P183" s="0" t="s">
        <v>150</v>
      </c>
      <c r="Q183" s="0" t="s">
        <v>151</v>
      </c>
      <c r="R183" s="0" t="s">
        <v>3897</v>
      </c>
      <c r="S183" s="0" t="s">
        <v>3898</v>
      </c>
      <c r="T183" s="0" t="s">
        <v>3819</v>
      </c>
      <c r="U183" s="0" t="s">
        <v>3820</v>
      </c>
      <c r="V183" s="0" t="s">
        <v>713</v>
      </c>
      <c r="W183" s="0" t="s">
        <v>3807</v>
      </c>
      <c r="X183" s="0" t="s">
        <v>3821</v>
      </c>
      <c r="Y183" s="0" t="s">
        <v>3820</v>
      </c>
      <c r="Z183" s="0" t="s">
        <v>4077</v>
      </c>
      <c r="AA183" s="0" t="s">
        <v>3901</v>
      </c>
      <c r="AB183" s="0" t="s">
        <v>4079</v>
      </c>
      <c r="AC183" s="0" t="s">
        <v>64</v>
      </c>
      <c r="AD183" s="0" t="s">
        <v>19</v>
      </c>
      <c r="AE183" s="0" t="s">
        <v>19</v>
      </c>
      <c r="AF183" s="0" t="s">
        <v>1953</v>
      </c>
      <c r="AG183" s="0" t="s">
        <v>514</v>
      </c>
      <c r="AH183" s="0" t="s">
        <v>22</v>
      </c>
      <c r="AI183" s="0" t="s">
        <v>22</v>
      </c>
      <c r="AJ183" s="0" t="s">
        <v>22</v>
      </c>
      <c r="AK183" s="0" t="s">
        <v>22</v>
      </c>
    </row>
    <row customHeight="1" ht="11.25">
      <c r="A184" s="0" t="s">
        <v>22</v>
      </c>
      <c r="B184" s="0" t="s">
        <v>48</v>
      </c>
      <c r="C184" s="0" t="s">
        <v>50</v>
      </c>
      <c r="D184" s="0" t="s">
        <v>22</v>
      </c>
      <c r="E184" s="0" t="s">
        <v>4230</v>
      </c>
      <c r="F184" s="0" t="s">
        <v>1305</v>
      </c>
      <c r="G184" s="0" t="s">
        <v>99</v>
      </c>
      <c r="H184" s="0" t="s">
        <v>99</v>
      </c>
      <c r="I184" s="0" t="s">
        <v>100</v>
      </c>
      <c r="J184" s="0" t="s">
        <v>4081</v>
      </c>
      <c r="K184" s="0" t="s">
        <v>4082</v>
      </c>
      <c r="L184" s="0" t="s">
        <v>3818</v>
      </c>
      <c r="M184" s="0" t="s">
        <v>3818</v>
      </c>
      <c r="N184" s="0" t="s">
        <v>105</v>
      </c>
      <c r="O184" s="0" t="s">
        <v>99</v>
      </c>
      <c r="P184" s="0" t="s">
        <v>99</v>
      </c>
      <c r="Q184" s="0" t="s">
        <v>100</v>
      </c>
      <c r="R184" s="0" t="s">
        <v>4081</v>
      </c>
      <c r="S184" s="0" t="s">
        <v>4082</v>
      </c>
      <c r="T184" s="0" t="s">
        <v>3819</v>
      </c>
      <c r="U184" s="0" t="s">
        <v>3820</v>
      </c>
      <c r="V184" s="0" t="s">
        <v>713</v>
      </c>
      <c r="W184" s="0" t="s">
        <v>3807</v>
      </c>
      <c r="X184" s="0" t="s">
        <v>3821</v>
      </c>
      <c r="Y184" s="0" t="s">
        <v>3820</v>
      </c>
      <c r="Z184" s="0" t="s">
        <v>4083</v>
      </c>
      <c r="AA184" s="0" t="s">
        <v>3875</v>
      </c>
      <c r="AB184" s="0" t="s">
        <v>3840</v>
      </c>
      <c r="AC184" s="0" t="s">
        <v>64</v>
      </c>
      <c r="AD184" s="0" t="s">
        <v>19</v>
      </c>
      <c r="AE184" s="0" t="s">
        <v>64</v>
      </c>
      <c r="AF184" s="0" t="s">
        <v>155</v>
      </c>
      <c r="AG184" s="0" t="s">
        <v>514</v>
      </c>
      <c r="AH184" s="0" t="s">
        <v>22</v>
      </c>
      <c r="AI184" s="0" t="s">
        <v>22</v>
      </c>
      <c r="AJ184" s="0" t="s">
        <v>155</v>
      </c>
      <c r="AK184" s="0" t="s">
        <v>514</v>
      </c>
    </row>
    <row customHeight="1" ht="11.25">
      <c r="A185" s="0" t="s">
        <v>22</v>
      </c>
      <c r="B185" s="0" t="s">
        <v>48</v>
      </c>
      <c r="C185" s="0" t="s">
        <v>50</v>
      </c>
      <c r="D185" s="0" t="s">
        <v>22</v>
      </c>
      <c r="E185" s="0" t="s">
        <v>4230</v>
      </c>
      <c r="F185" s="0" t="s">
        <v>1305</v>
      </c>
      <c r="G185" s="0" t="s">
        <v>99</v>
      </c>
      <c r="H185" s="0" t="s">
        <v>99</v>
      </c>
      <c r="I185" s="0" t="s">
        <v>100</v>
      </c>
      <c r="J185" s="0" t="s">
        <v>4081</v>
      </c>
      <c r="K185" s="0" t="s">
        <v>4082</v>
      </c>
      <c r="L185" s="0" t="s">
        <v>3818</v>
      </c>
      <c r="M185" s="0" t="s">
        <v>3818</v>
      </c>
      <c r="N185" s="0" t="s">
        <v>105</v>
      </c>
      <c r="O185" s="0" t="s">
        <v>99</v>
      </c>
      <c r="P185" s="0" t="s">
        <v>99</v>
      </c>
      <c r="Q185" s="0" t="s">
        <v>100</v>
      </c>
      <c r="R185" s="0" t="s">
        <v>4081</v>
      </c>
      <c r="S185" s="0" t="s">
        <v>4082</v>
      </c>
      <c r="T185" s="0" t="s">
        <v>3819</v>
      </c>
      <c r="U185" s="0" t="s">
        <v>3820</v>
      </c>
      <c r="V185" s="0" t="s">
        <v>713</v>
      </c>
      <c r="W185" s="0" t="s">
        <v>3807</v>
      </c>
      <c r="X185" s="0" t="s">
        <v>3821</v>
      </c>
      <c r="Y185" s="0" t="s">
        <v>3820</v>
      </c>
      <c r="Z185" s="0" t="s">
        <v>4083</v>
      </c>
      <c r="AA185" s="0" t="s">
        <v>3875</v>
      </c>
      <c r="AB185" s="0" t="s">
        <v>3840</v>
      </c>
      <c r="AC185" s="0" t="s">
        <v>64</v>
      </c>
      <c r="AD185" s="0" t="s">
        <v>19</v>
      </c>
      <c r="AE185" s="0" t="s">
        <v>64</v>
      </c>
      <c r="AF185" s="0" t="s">
        <v>155</v>
      </c>
      <c r="AG185" s="0" t="s">
        <v>514</v>
      </c>
      <c r="AH185" s="0" t="s">
        <v>22</v>
      </c>
      <c r="AI185" s="0" t="s">
        <v>22</v>
      </c>
      <c r="AJ185" s="0" t="s">
        <v>155</v>
      </c>
      <c r="AK185" s="0" t="s">
        <v>514</v>
      </c>
    </row>
    <row customHeight="1" ht="11.25">
      <c r="A186" s="0" t="s">
        <v>22</v>
      </c>
      <c r="B186" s="0" t="s">
        <v>48</v>
      </c>
      <c r="C186" s="0" t="s">
        <v>50</v>
      </c>
      <c r="D186" s="0" t="s">
        <v>22</v>
      </c>
      <c r="E186" s="0" t="s">
        <v>4231</v>
      </c>
      <c r="F186" s="0" t="s">
        <v>1305</v>
      </c>
      <c r="G186" s="0" t="s">
        <v>99</v>
      </c>
      <c r="H186" s="0" t="s">
        <v>99</v>
      </c>
      <c r="I186" s="0" t="s">
        <v>100</v>
      </c>
      <c r="J186" s="0" t="s">
        <v>4232</v>
      </c>
      <c r="K186" s="0" t="s">
        <v>4233</v>
      </c>
      <c r="L186" s="0" t="s">
        <v>4165</v>
      </c>
      <c r="M186" s="0" t="s">
        <v>4234</v>
      </c>
      <c r="N186" s="0" t="s">
        <v>105</v>
      </c>
      <c r="O186" s="0" t="s">
        <v>99</v>
      </c>
      <c r="P186" s="0" t="s">
        <v>99</v>
      </c>
      <c r="Q186" s="0" t="s">
        <v>100</v>
      </c>
      <c r="R186" s="0" t="s">
        <v>4232</v>
      </c>
      <c r="S186" s="0" t="s">
        <v>4233</v>
      </c>
      <c r="T186" s="0" t="s">
        <v>3819</v>
      </c>
      <c r="U186" s="0" t="s">
        <v>3820</v>
      </c>
      <c r="V186" s="0" t="s">
        <v>713</v>
      </c>
      <c r="W186" s="0" t="s">
        <v>3807</v>
      </c>
      <c r="X186" s="0" t="s">
        <v>3821</v>
      </c>
      <c r="Y186" s="0" t="s">
        <v>3820</v>
      </c>
      <c r="Z186" s="0" t="s">
        <v>4083</v>
      </c>
      <c r="AA186" s="0" t="s">
        <v>3875</v>
      </c>
      <c r="AB186" s="0" t="s">
        <v>3840</v>
      </c>
      <c r="AC186" s="0" t="s">
        <v>64</v>
      </c>
      <c r="AD186" s="0" t="s">
        <v>19</v>
      </c>
      <c r="AE186" s="0" t="s">
        <v>64</v>
      </c>
      <c r="AF186" s="0" t="s">
        <v>918</v>
      </c>
      <c r="AG186" s="0" t="s">
        <v>514</v>
      </c>
      <c r="AH186" s="0" t="s">
        <v>22</v>
      </c>
      <c r="AI186" s="0" t="s">
        <v>22</v>
      </c>
      <c r="AJ186" s="0" t="s">
        <v>918</v>
      </c>
      <c r="AK186" s="0" t="s">
        <v>514</v>
      </c>
    </row>
    <row customHeight="1" ht="11.25">
      <c r="A187" s="0" t="s">
        <v>22</v>
      </c>
      <c r="B187" s="0" t="s">
        <v>48</v>
      </c>
      <c r="C187" s="0" t="s">
        <v>50</v>
      </c>
      <c r="D187" s="0" t="s">
        <v>22</v>
      </c>
      <c r="E187" s="0" t="s">
        <v>4231</v>
      </c>
      <c r="F187" s="0" t="s">
        <v>1305</v>
      </c>
      <c r="G187" s="0" t="s">
        <v>99</v>
      </c>
      <c r="H187" s="0" t="s">
        <v>99</v>
      </c>
      <c r="I187" s="0" t="s">
        <v>100</v>
      </c>
      <c r="J187" s="0" t="s">
        <v>4232</v>
      </c>
      <c r="K187" s="0" t="s">
        <v>4233</v>
      </c>
      <c r="L187" s="0" t="s">
        <v>4165</v>
      </c>
      <c r="M187" s="0" t="s">
        <v>4234</v>
      </c>
      <c r="N187" s="0" t="s">
        <v>105</v>
      </c>
      <c r="O187" s="0" t="s">
        <v>99</v>
      </c>
      <c r="P187" s="0" t="s">
        <v>99</v>
      </c>
      <c r="Q187" s="0" t="s">
        <v>100</v>
      </c>
      <c r="R187" s="0" t="s">
        <v>4232</v>
      </c>
      <c r="S187" s="0" t="s">
        <v>4233</v>
      </c>
      <c r="T187" s="0" t="s">
        <v>3819</v>
      </c>
      <c r="U187" s="0" t="s">
        <v>3820</v>
      </c>
      <c r="V187" s="0" t="s">
        <v>713</v>
      </c>
      <c r="W187" s="0" t="s">
        <v>3807</v>
      </c>
      <c r="X187" s="0" t="s">
        <v>3821</v>
      </c>
      <c r="Y187" s="0" t="s">
        <v>3820</v>
      </c>
      <c r="Z187" s="0" t="s">
        <v>4083</v>
      </c>
      <c r="AA187" s="0" t="s">
        <v>3875</v>
      </c>
      <c r="AB187" s="0" t="s">
        <v>3840</v>
      </c>
      <c r="AC187" s="0" t="s">
        <v>64</v>
      </c>
      <c r="AD187" s="0" t="s">
        <v>19</v>
      </c>
      <c r="AE187" s="0" t="s">
        <v>64</v>
      </c>
      <c r="AF187" s="0" t="s">
        <v>918</v>
      </c>
      <c r="AG187" s="0" t="s">
        <v>514</v>
      </c>
      <c r="AH187" s="0" t="s">
        <v>22</v>
      </c>
      <c r="AI187" s="0" t="s">
        <v>22</v>
      </c>
      <c r="AJ187" s="0" t="s">
        <v>918</v>
      </c>
      <c r="AK187" s="0" t="s">
        <v>514</v>
      </c>
    </row>
    <row customHeight="1" ht="11.25">
      <c r="A188" s="0" t="s">
        <v>22</v>
      </c>
      <c r="B188" s="0" t="s">
        <v>48</v>
      </c>
      <c r="C188" s="0" t="s">
        <v>50</v>
      </c>
      <c r="D188" s="0" t="s">
        <v>22</v>
      </c>
      <c r="E188" s="0" t="s">
        <v>4235</v>
      </c>
      <c r="F188" s="0" t="s">
        <v>3815</v>
      </c>
      <c r="G188" s="0" t="s">
        <v>136</v>
      </c>
      <c r="H188" s="0" t="s">
        <v>136</v>
      </c>
      <c r="I188" s="0" t="s">
        <v>137</v>
      </c>
      <c r="J188" s="0" t="s">
        <v>4180</v>
      </c>
      <c r="K188" s="0" t="s">
        <v>4181</v>
      </c>
      <c r="L188" s="0" t="s">
        <v>4091</v>
      </c>
      <c r="M188" s="0" t="s">
        <v>4092</v>
      </c>
      <c r="N188" s="0" t="s">
        <v>105</v>
      </c>
      <c r="O188" s="0" t="s">
        <v>136</v>
      </c>
      <c r="P188" s="0" t="s">
        <v>136</v>
      </c>
      <c r="Q188" s="0" t="s">
        <v>137</v>
      </c>
      <c r="R188" s="0" t="s">
        <v>4180</v>
      </c>
      <c r="S188" s="0" t="s">
        <v>4181</v>
      </c>
      <c r="T188" s="0" t="s">
        <v>3819</v>
      </c>
      <c r="U188" s="0" t="s">
        <v>3820</v>
      </c>
      <c r="V188" s="0" t="s">
        <v>713</v>
      </c>
      <c r="W188" s="0" t="s">
        <v>3807</v>
      </c>
      <c r="X188" s="0" t="s">
        <v>3821</v>
      </c>
      <c r="Y188" s="0" t="s">
        <v>4009</v>
      </c>
      <c r="Z188" s="0" t="s">
        <v>3920</v>
      </c>
      <c r="AA188" s="0" t="s">
        <v>3921</v>
      </c>
      <c r="AB188" s="0" t="s">
        <v>4182</v>
      </c>
      <c r="AC188" s="0" t="s">
        <v>64</v>
      </c>
      <c r="AD188" s="0" t="s">
        <v>19</v>
      </c>
      <c r="AE188" s="0" t="s">
        <v>19</v>
      </c>
      <c r="AF188" s="0" t="s">
        <v>1930</v>
      </c>
      <c r="AG188" s="0" t="s">
        <v>4213</v>
      </c>
      <c r="AH188" s="0" t="s">
        <v>22</v>
      </c>
      <c r="AI188" s="0" t="s">
        <v>22</v>
      </c>
      <c r="AJ188" s="0" t="s">
        <v>22</v>
      </c>
      <c r="AK188" s="0" t="s">
        <v>22</v>
      </c>
    </row>
    <row customHeight="1" ht="11.25">
      <c r="A189" s="0" t="s">
        <v>22</v>
      </c>
      <c r="B189" s="0" t="s">
        <v>48</v>
      </c>
      <c r="C189" s="0" t="s">
        <v>50</v>
      </c>
      <c r="D189" s="0" t="s">
        <v>22</v>
      </c>
      <c r="E189" s="0" t="s">
        <v>4235</v>
      </c>
      <c r="F189" s="0" t="s">
        <v>3815</v>
      </c>
      <c r="G189" s="0" t="s">
        <v>139</v>
      </c>
      <c r="H189" s="0" t="s">
        <v>140</v>
      </c>
      <c r="I189" s="0" t="s">
        <v>141</v>
      </c>
      <c r="J189" s="0" t="s">
        <v>4180</v>
      </c>
      <c r="K189" s="0" t="s">
        <v>4183</v>
      </c>
      <c r="L189" s="0" t="s">
        <v>4091</v>
      </c>
      <c r="M189" s="0" t="s">
        <v>4092</v>
      </c>
      <c r="N189" s="0" t="s">
        <v>105</v>
      </c>
      <c r="O189" s="0" t="s">
        <v>139</v>
      </c>
      <c r="P189" s="0" t="s">
        <v>140</v>
      </c>
      <c r="Q189" s="0" t="s">
        <v>141</v>
      </c>
      <c r="R189" s="0" t="s">
        <v>4180</v>
      </c>
      <c r="S189" s="0" t="s">
        <v>4183</v>
      </c>
      <c r="T189" s="0" t="s">
        <v>3819</v>
      </c>
      <c r="U189" s="0" t="s">
        <v>3820</v>
      </c>
      <c r="V189" s="0" t="s">
        <v>713</v>
      </c>
      <c r="W189" s="0" t="s">
        <v>3807</v>
      </c>
      <c r="X189" s="0" t="s">
        <v>3821</v>
      </c>
      <c r="Y189" s="0" t="s">
        <v>4009</v>
      </c>
      <c r="Z189" s="0" t="s">
        <v>3920</v>
      </c>
      <c r="AA189" s="0" t="s">
        <v>3921</v>
      </c>
      <c r="AB189" s="0" t="s">
        <v>4182</v>
      </c>
      <c r="AC189" s="0" t="s">
        <v>64</v>
      </c>
      <c r="AD189" s="0" t="s">
        <v>19</v>
      </c>
      <c r="AE189" s="0" t="s">
        <v>19</v>
      </c>
      <c r="AF189" s="0" t="s">
        <v>1930</v>
      </c>
      <c r="AG189" s="0" t="s">
        <v>4213</v>
      </c>
      <c r="AH189" s="0" t="s">
        <v>22</v>
      </c>
      <c r="AI189" s="0" t="s">
        <v>22</v>
      </c>
      <c r="AJ189" s="0" t="s">
        <v>22</v>
      </c>
      <c r="AK189" s="0" t="s">
        <v>22</v>
      </c>
    </row>
    <row customHeight="1" ht="11.25">
      <c r="A190" s="0" t="s">
        <v>22</v>
      </c>
      <c r="B190" s="0" t="s">
        <v>48</v>
      </c>
      <c r="C190" s="0" t="s">
        <v>50</v>
      </c>
      <c r="D190" s="0" t="s">
        <v>22</v>
      </c>
      <c r="E190" s="0" t="s">
        <v>4236</v>
      </c>
      <c r="F190" s="0" t="s">
        <v>3815</v>
      </c>
      <c r="G190" s="0" t="s">
        <v>136</v>
      </c>
      <c r="H190" s="0" t="s">
        <v>136</v>
      </c>
      <c r="I190" s="0" t="s">
        <v>137</v>
      </c>
      <c r="J190" s="0" t="s">
        <v>4237</v>
      </c>
      <c r="K190" s="0" t="s">
        <v>4238</v>
      </c>
      <c r="L190" s="0" t="s">
        <v>4239</v>
      </c>
      <c r="M190" s="0" t="s">
        <v>148</v>
      </c>
      <c r="N190" s="0" t="s">
        <v>105</v>
      </c>
      <c r="O190" s="0" t="s">
        <v>136</v>
      </c>
      <c r="P190" s="0" t="s">
        <v>136</v>
      </c>
      <c r="Q190" s="0" t="s">
        <v>137</v>
      </c>
      <c r="R190" s="0" t="s">
        <v>4237</v>
      </c>
      <c r="S190" s="0" t="s">
        <v>4238</v>
      </c>
      <c r="T190" s="0" t="s">
        <v>3819</v>
      </c>
      <c r="U190" s="0" t="s">
        <v>3820</v>
      </c>
      <c r="V190" s="0" t="s">
        <v>713</v>
      </c>
      <c r="W190" s="0" t="s">
        <v>3807</v>
      </c>
      <c r="X190" s="0" t="s">
        <v>3821</v>
      </c>
      <c r="Y190" s="0" t="s">
        <v>4009</v>
      </c>
      <c r="Z190" s="0" t="s">
        <v>3920</v>
      </c>
      <c r="AA190" s="0" t="s">
        <v>3921</v>
      </c>
      <c r="AB190" s="0" t="s">
        <v>4182</v>
      </c>
      <c r="AC190" s="0" t="s">
        <v>64</v>
      </c>
      <c r="AD190" s="0" t="s">
        <v>19</v>
      </c>
      <c r="AE190" s="0" t="s">
        <v>19</v>
      </c>
      <c r="AF190" s="0" t="s">
        <v>1846</v>
      </c>
      <c r="AG190" s="0" t="s">
        <v>4240</v>
      </c>
      <c r="AH190" s="0" t="s">
        <v>22</v>
      </c>
      <c r="AI190" s="0" t="s">
        <v>22</v>
      </c>
      <c r="AJ190" s="0" t="s">
        <v>22</v>
      </c>
      <c r="AK190" s="0" t="s">
        <v>22</v>
      </c>
    </row>
    <row customHeight="1" ht="11.25">
      <c r="A191" s="0" t="s">
        <v>22</v>
      </c>
      <c r="B191" s="0" t="s">
        <v>48</v>
      </c>
      <c r="C191" s="0" t="s">
        <v>50</v>
      </c>
      <c r="D191" s="0" t="s">
        <v>22</v>
      </c>
      <c r="E191" s="0" t="s">
        <v>4236</v>
      </c>
      <c r="F191" s="0" t="s">
        <v>3815</v>
      </c>
      <c r="G191" s="0" t="s">
        <v>139</v>
      </c>
      <c r="H191" s="0" t="s">
        <v>140</v>
      </c>
      <c r="I191" s="0" t="s">
        <v>141</v>
      </c>
      <c r="J191" s="0" t="s">
        <v>4237</v>
      </c>
      <c r="K191" s="0" t="s">
        <v>4241</v>
      </c>
      <c r="L191" s="0" t="s">
        <v>4239</v>
      </c>
      <c r="M191" s="0" t="s">
        <v>148</v>
      </c>
      <c r="N191" s="0" t="s">
        <v>105</v>
      </c>
      <c r="O191" s="0" t="s">
        <v>139</v>
      </c>
      <c r="P191" s="0" t="s">
        <v>140</v>
      </c>
      <c r="Q191" s="0" t="s">
        <v>141</v>
      </c>
      <c r="R191" s="0" t="s">
        <v>4237</v>
      </c>
      <c r="S191" s="0" t="s">
        <v>4241</v>
      </c>
      <c r="T191" s="0" t="s">
        <v>3819</v>
      </c>
      <c r="U191" s="0" t="s">
        <v>3820</v>
      </c>
      <c r="V191" s="0" t="s">
        <v>713</v>
      </c>
      <c r="W191" s="0" t="s">
        <v>3807</v>
      </c>
      <c r="X191" s="0" t="s">
        <v>3821</v>
      </c>
      <c r="Y191" s="0" t="s">
        <v>4009</v>
      </c>
      <c r="Z191" s="0" t="s">
        <v>3920</v>
      </c>
      <c r="AA191" s="0" t="s">
        <v>3921</v>
      </c>
      <c r="AB191" s="0" t="s">
        <v>4182</v>
      </c>
      <c r="AC191" s="0" t="s">
        <v>64</v>
      </c>
      <c r="AD191" s="0" t="s">
        <v>19</v>
      </c>
      <c r="AE191" s="0" t="s">
        <v>19</v>
      </c>
      <c r="AF191" s="0" t="s">
        <v>1846</v>
      </c>
      <c r="AG191" s="0" t="s">
        <v>4240</v>
      </c>
      <c r="AH191" s="0" t="s">
        <v>22</v>
      </c>
      <c r="AI191" s="0" t="s">
        <v>22</v>
      </c>
      <c r="AJ191" s="0" t="s">
        <v>22</v>
      </c>
      <c r="AK191" s="0" t="s">
        <v>22</v>
      </c>
    </row>
    <row customHeight="1" ht="11.25">
      <c r="A192" s="0" t="s">
        <v>22</v>
      </c>
      <c r="B192" s="0" t="s">
        <v>48</v>
      </c>
      <c r="C192" s="0" t="s">
        <v>50</v>
      </c>
      <c r="D192" s="0" t="s">
        <v>22</v>
      </c>
      <c r="E192" s="0" t="s">
        <v>4242</v>
      </c>
      <c r="F192" s="0" t="s">
        <v>3815</v>
      </c>
      <c r="G192" s="0" t="s">
        <v>136</v>
      </c>
      <c r="H192" s="0" t="s">
        <v>136</v>
      </c>
      <c r="I192" s="0" t="s">
        <v>137</v>
      </c>
      <c r="J192" s="0" t="s">
        <v>4180</v>
      </c>
      <c r="K192" s="0" t="s">
        <v>4181</v>
      </c>
      <c r="L192" s="0" t="s">
        <v>4091</v>
      </c>
      <c r="M192" s="0" t="s">
        <v>4243</v>
      </c>
      <c r="N192" s="0" t="s">
        <v>105</v>
      </c>
      <c r="O192" s="0" t="s">
        <v>136</v>
      </c>
      <c r="P192" s="0" t="s">
        <v>136</v>
      </c>
      <c r="Q192" s="0" t="s">
        <v>137</v>
      </c>
      <c r="R192" s="0" t="s">
        <v>4180</v>
      </c>
      <c r="S192" s="0" t="s">
        <v>4181</v>
      </c>
      <c r="T192" s="0" t="s">
        <v>3819</v>
      </c>
      <c r="U192" s="0" t="s">
        <v>3820</v>
      </c>
      <c r="V192" s="0" t="s">
        <v>713</v>
      </c>
      <c r="W192" s="0" t="s">
        <v>3807</v>
      </c>
      <c r="X192" s="0" t="s">
        <v>3821</v>
      </c>
      <c r="Y192" s="0" t="s">
        <v>4009</v>
      </c>
      <c r="Z192" s="0" t="s">
        <v>3920</v>
      </c>
      <c r="AA192" s="0" t="s">
        <v>3921</v>
      </c>
      <c r="AB192" s="0" t="s">
        <v>4182</v>
      </c>
      <c r="AC192" s="0" t="s">
        <v>64</v>
      </c>
      <c r="AD192" s="0" t="s">
        <v>19</v>
      </c>
      <c r="AE192" s="0" t="s">
        <v>19</v>
      </c>
      <c r="AF192" s="0" t="s">
        <v>4244</v>
      </c>
      <c r="AG192" s="0" t="s">
        <v>4213</v>
      </c>
      <c r="AH192" s="0" t="s">
        <v>22</v>
      </c>
      <c r="AI192" s="0" t="s">
        <v>22</v>
      </c>
      <c r="AJ192" s="0" t="s">
        <v>22</v>
      </c>
      <c r="AK192" s="0" t="s">
        <v>22</v>
      </c>
    </row>
    <row customHeight="1" ht="11.25">
      <c r="A193" s="0" t="s">
        <v>22</v>
      </c>
      <c r="B193" s="0" t="s">
        <v>48</v>
      </c>
      <c r="C193" s="0" t="s">
        <v>50</v>
      </c>
      <c r="D193" s="0" t="s">
        <v>22</v>
      </c>
      <c r="E193" s="0" t="s">
        <v>4242</v>
      </c>
      <c r="F193" s="0" t="s">
        <v>3815</v>
      </c>
      <c r="G193" s="0" t="s">
        <v>139</v>
      </c>
      <c r="H193" s="0" t="s">
        <v>140</v>
      </c>
      <c r="I193" s="0" t="s">
        <v>141</v>
      </c>
      <c r="J193" s="0" t="s">
        <v>4180</v>
      </c>
      <c r="K193" s="0" t="s">
        <v>4183</v>
      </c>
      <c r="L193" s="0" t="s">
        <v>4091</v>
      </c>
      <c r="M193" s="0" t="s">
        <v>4243</v>
      </c>
      <c r="N193" s="0" t="s">
        <v>105</v>
      </c>
      <c r="O193" s="0" t="s">
        <v>139</v>
      </c>
      <c r="P193" s="0" t="s">
        <v>140</v>
      </c>
      <c r="Q193" s="0" t="s">
        <v>141</v>
      </c>
      <c r="R193" s="0" t="s">
        <v>4180</v>
      </c>
      <c r="S193" s="0" t="s">
        <v>4183</v>
      </c>
      <c r="T193" s="0" t="s">
        <v>3819</v>
      </c>
      <c r="U193" s="0" t="s">
        <v>3820</v>
      </c>
      <c r="V193" s="0" t="s">
        <v>713</v>
      </c>
      <c r="W193" s="0" t="s">
        <v>3807</v>
      </c>
      <c r="X193" s="0" t="s">
        <v>3821</v>
      </c>
      <c r="Y193" s="0" t="s">
        <v>4009</v>
      </c>
      <c r="Z193" s="0" t="s">
        <v>3920</v>
      </c>
      <c r="AA193" s="0" t="s">
        <v>3921</v>
      </c>
      <c r="AB193" s="0" t="s">
        <v>4182</v>
      </c>
      <c r="AC193" s="0" t="s">
        <v>64</v>
      </c>
      <c r="AD193" s="0" t="s">
        <v>19</v>
      </c>
      <c r="AE193" s="0" t="s">
        <v>19</v>
      </c>
      <c r="AF193" s="0" t="s">
        <v>4244</v>
      </c>
      <c r="AG193" s="0" t="s">
        <v>4213</v>
      </c>
      <c r="AH193" s="0" t="s">
        <v>22</v>
      </c>
      <c r="AI193" s="0" t="s">
        <v>22</v>
      </c>
      <c r="AJ193" s="0" t="s">
        <v>22</v>
      </c>
      <c r="AK193" s="0" t="s">
        <v>22</v>
      </c>
    </row>
    <row customHeight="1" ht="11.25">
      <c r="A194" s="0" t="s">
        <v>22</v>
      </c>
      <c r="B194" s="0" t="s">
        <v>48</v>
      </c>
      <c r="C194" s="0" t="s">
        <v>50</v>
      </c>
      <c r="D194" s="0" t="s">
        <v>22</v>
      </c>
      <c r="E194" s="0" t="s">
        <v>4245</v>
      </c>
      <c r="F194" s="0" t="s">
        <v>3815</v>
      </c>
      <c r="G194" s="0" t="s">
        <v>136</v>
      </c>
      <c r="H194" s="0" t="s">
        <v>136</v>
      </c>
      <c r="I194" s="0" t="s">
        <v>137</v>
      </c>
      <c r="J194" s="0" t="s">
        <v>4180</v>
      </c>
      <c r="K194" s="0" t="s">
        <v>4181</v>
      </c>
      <c r="L194" s="0" t="s">
        <v>3830</v>
      </c>
      <c r="M194" s="0" t="s">
        <v>1944</v>
      </c>
      <c r="N194" s="0" t="s">
        <v>105</v>
      </c>
      <c r="O194" s="0" t="s">
        <v>136</v>
      </c>
      <c r="P194" s="0" t="s">
        <v>136</v>
      </c>
      <c r="Q194" s="0" t="s">
        <v>137</v>
      </c>
      <c r="R194" s="0" t="s">
        <v>4180</v>
      </c>
      <c r="S194" s="0" t="s">
        <v>4181</v>
      </c>
      <c r="T194" s="0" t="s">
        <v>3819</v>
      </c>
      <c r="U194" s="0" t="s">
        <v>3820</v>
      </c>
      <c r="V194" s="0" t="s">
        <v>713</v>
      </c>
      <c r="W194" s="0" t="s">
        <v>3807</v>
      </c>
      <c r="X194" s="0" t="s">
        <v>3821</v>
      </c>
      <c r="Y194" s="0" t="s">
        <v>4009</v>
      </c>
      <c r="Z194" s="0" t="s">
        <v>3920</v>
      </c>
      <c r="AA194" s="0" t="s">
        <v>3921</v>
      </c>
      <c r="AB194" s="0" t="s">
        <v>4182</v>
      </c>
      <c r="AC194" s="0" t="s">
        <v>64</v>
      </c>
      <c r="AD194" s="0" t="s">
        <v>19</v>
      </c>
      <c r="AE194" s="0" t="s">
        <v>19</v>
      </c>
      <c r="AF194" s="0" t="s">
        <v>148</v>
      </c>
      <c r="AG194" s="0" t="s">
        <v>4213</v>
      </c>
      <c r="AH194" s="0" t="s">
        <v>22</v>
      </c>
      <c r="AI194" s="0" t="s">
        <v>22</v>
      </c>
      <c r="AJ194" s="0" t="s">
        <v>22</v>
      </c>
      <c r="AK194" s="0" t="s">
        <v>22</v>
      </c>
    </row>
    <row customHeight="1" ht="11.25">
      <c r="A195" s="0" t="s">
        <v>22</v>
      </c>
      <c r="B195" s="0" t="s">
        <v>48</v>
      </c>
      <c r="C195" s="0" t="s">
        <v>50</v>
      </c>
      <c r="D195" s="0" t="s">
        <v>22</v>
      </c>
      <c r="E195" s="0" t="s">
        <v>4245</v>
      </c>
      <c r="F195" s="0" t="s">
        <v>3815</v>
      </c>
      <c r="G195" s="0" t="s">
        <v>139</v>
      </c>
      <c r="H195" s="0" t="s">
        <v>140</v>
      </c>
      <c r="I195" s="0" t="s">
        <v>141</v>
      </c>
      <c r="J195" s="0" t="s">
        <v>4180</v>
      </c>
      <c r="K195" s="0" t="s">
        <v>4183</v>
      </c>
      <c r="L195" s="0" t="s">
        <v>3830</v>
      </c>
      <c r="M195" s="0" t="s">
        <v>1944</v>
      </c>
      <c r="N195" s="0" t="s">
        <v>105</v>
      </c>
      <c r="O195" s="0" t="s">
        <v>139</v>
      </c>
      <c r="P195" s="0" t="s">
        <v>140</v>
      </c>
      <c r="Q195" s="0" t="s">
        <v>141</v>
      </c>
      <c r="R195" s="0" t="s">
        <v>4180</v>
      </c>
      <c r="S195" s="0" t="s">
        <v>4183</v>
      </c>
      <c r="T195" s="0" t="s">
        <v>3819</v>
      </c>
      <c r="U195" s="0" t="s">
        <v>3820</v>
      </c>
      <c r="V195" s="0" t="s">
        <v>713</v>
      </c>
      <c r="W195" s="0" t="s">
        <v>3807</v>
      </c>
      <c r="X195" s="0" t="s">
        <v>3821</v>
      </c>
      <c r="Y195" s="0" t="s">
        <v>4009</v>
      </c>
      <c r="Z195" s="0" t="s">
        <v>3920</v>
      </c>
      <c r="AA195" s="0" t="s">
        <v>3921</v>
      </c>
      <c r="AB195" s="0" t="s">
        <v>4182</v>
      </c>
      <c r="AC195" s="0" t="s">
        <v>64</v>
      </c>
      <c r="AD195" s="0" t="s">
        <v>19</v>
      </c>
      <c r="AE195" s="0" t="s">
        <v>19</v>
      </c>
      <c r="AF195" s="0" t="s">
        <v>148</v>
      </c>
      <c r="AG195" s="0" t="s">
        <v>4213</v>
      </c>
      <c r="AH195" s="0" t="s">
        <v>22</v>
      </c>
      <c r="AI195" s="0" t="s">
        <v>22</v>
      </c>
      <c r="AJ195" s="0" t="s">
        <v>22</v>
      </c>
      <c r="AK195" s="0" t="s">
        <v>22</v>
      </c>
    </row>
    <row customHeight="1" ht="11.25">
      <c r="A196" s="0" t="s">
        <v>22</v>
      </c>
      <c r="B196" s="0" t="s">
        <v>48</v>
      </c>
      <c r="C196" s="0" t="s">
        <v>50</v>
      </c>
      <c r="D196" s="0" t="s">
        <v>22</v>
      </c>
      <c r="E196" s="0" t="s">
        <v>4246</v>
      </c>
      <c r="F196" s="0" t="s">
        <v>3815</v>
      </c>
      <c r="G196" s="0" t="s">
        <v>136</v>
      </c>
      <c r="H196" s="0" t="s">
        <v>136</v>
      </c>
      <c r="I196" s="0" t="s">
        <v>137</v>
      </c>
      <c r="J196" s="0" t="s">
        <v>4006</v>
      </c>
      <c r="K196" s="0" t="s">
        <v>4007</v>
      </c>
      <c r="L196" s="0" t="s">
        <v>4247</v>
      </c>
      <c r="M196" s="0" t="s">
        <v>3985</v>
      </c>
      <c r="N196" s="0" t="s">
        <v>105</v>
      </c>
      <c r="O196" s="0" t="s">
        <v>136</v>
      </c>
      <c r="P196" s="0" t="s">
        <v>136</v>
      </c>
      <c r="Q196" s="0" t="s">
        <v>137</v>
      </c>
      <c r="R196" s="0" t="s">
        <v>4006</v>
      </c>
      <c r="S196" s="0" t="s">
        <v>4007</v>
      </c>
      <c r="T196" s="0" t="s">
        <v>3819</v>
      </c>
      <c r="U196" s="0" t="s">
        <v>3820</v>
      </c>
      <c r="V196" s="0" t="s">
        <v>713</v>
      </c>
      <c r="W196" s="0" t="s">
        <v>3807</v>
      </c>
      <c r="X196" s="0" t="s">
        <v>3821</v>
      </c>
      <c r="Y196" s="0" t="s">
        <v>4009</v>
      </c>
      <c r="Z196" s="0" t="s">
        <v>4010</v>
      </c>
      <c r="AA196" s="0" t="s">
        <v>4011</v>
      </c>
      <c r="AB196" s="0" t="s">
        <v>4012</v>
      </c>
      <c r="AC196" s="0" t="s">
        <v>64</v>
      </c>
      <c r="AD196" s="0" t="s">
        <v>19</v>
      </c>
      <c r="AE196" s="0" t="s">
        <v>19</v>
      </c>
      <c r="AF196" s="0" t="s">
        <v>4248</v>
      </c>
      <c r="AG196" s="0" t="s">
        <v>4014</v>
      </c>
      <c r="AH196" s="0" t="s">
        <v>22</v>
      </c>
      <c r="AI196" s="0" t="s">
        <v>22</v>
      </c>
      <c r="AJ196" s="0" t="s">
        <v>22</v>
      </c>
      <c r="AK196" s="0" t="s">
        <v>22</v>
      </c>
    </row>
    <row customHeight="1" ht="11.25">
      <c r="A197" s="0" t="s">
        <v>22</v>
      </c>
      <c r="B197" s="0" t="s">
        <v>48</v>
      </c>
      <c r="C197" s="0" t="s">
        <v>50</v>
      </c>
      <c r="D197" s="0" t="s">
        <v>22</v>
      </c>
      <c r="E197" s="0" t="s">
        <v>4246</v>
      </c>
      <c r="F197" s="0" t="s">
        <v>3815</v>
      </c>
      <c r="G197" s="0" t="s">
        <v>139</v>
      </c>
      <c r="H197" s="0" t="s">
        <v>143</v>
      </c>
      <c r="I197" s="0" t="s">
        <v>144</v>
      </c>
      <c r="J197" s="0" t="s">
        <v>4006</v>
      </c>
      <c r="K197" s="0" t="s">
        <v>4015</v>
      </c>
      <c r="L197" s="0" t="s">
        <v>4247</v>
      </c>
      <c r="M197" s="0" t="s">
        <v>3985</v>
      </c>
      <c r="N197" s="0" t="s">
        <v>105</v>
      </c>
      <c r="O197" s="0" t="s">
        <v>139</v>
      </c>
      <c r="P197" s="0" t="s">
        <v>143</v>
      </c>
      <c r="Q197" s="0" t="s">
        <v>144</v>
      </c>
      <c r="R197" s="0" t="s">
        <v>4006</v>
      </c>
      <c r="S197" s="0" t="s">
        <v>4015</v>
      </c>
      <c r="T197" s="0" t="s">
        <v>3819</v>
      </c>
      <c r="U197" s="0" t="s">
        <v>3820</v>
      </c>
      <c r="V197" s="0" t="s">
        <v>713</v>
      </c>
      <c r="W197" s="0" t="s">
        <v>3807</v>
      </c>
      <c r="X197" s="0" t="s">
        <v>3821</v>
      </c>
      <c r="Y197" s="0" t="s">
        <v>4009</v>
      </c>
      <c r="Z197" s="0" t="s">
        <v>4010</v>
      </c>
      <c r="AA197" s="0" t="s">
        <v>4011</v>
      </c>
      <c r="AB197" s="0" t="s">
        <v>4012</v>
      </c>
      <c r="AC197" s="0" t="s">
        <v>64</v>
      </c>
      <c r="AD197" s="0" t="s">
        <v>19</v>
      </c>
      <c r="AE197" s="0" t="s">
        <v>19</v>
      </c>
      <c r="AF197" s="0" t="s">
        <v>4248</v>
      </c>
      <c r="AG197" s="0" t="s">
        <v>4014</v>
      </c>
      <c r="AH197" s="0" t="s">
        <v>22</v>
      </c>
      <c r="AI197" s="0" t="s">
        <v>22</v>
      </c>
      <c r="AJ197" s="0" t="s">
        <v>22</v>
      </c>
      <c r="AK197" s="0" t="s">
        <v>22</v>
      </c>
    </row>
    <row customHeight="1" ht="11.25">
      <c r="A198" s="0" t="s">
        <v>22</v>
      </c>
      <c r="B198" s="0" t="s">
        <v>48</v>
      </c>
      <c r="C198" s="0" t="s">
        <v>50</v>
      </c>
      <c r="D198" s="0" t="s">
        <v>22</v>
      </c>
      <c r="E198" s="0" t="s">
        <v>4249</v>
      </c>
      <c r="F198" s="0" t="s">
        <v>3815</v>
      </c>
      <c r="G198" s="0" t="s">
        <v>150</v>
      </c>
      <c r="H198" s="0" t="s">
        <v>150</v>
      </c>
      <c r="I198" s="0" t="s">
        <v>151</v>
      </c>
      <c r="J198" s="0" t="s">
        <v>3897</v>
      </c>
      <c r="K198" s="0" t="s">
        <v>3898</v>
      </c>
      <c r="L198" s="0" t="s">
        <v>4250</v>
      </c>
      <c r="M198" s="0" t="s">
        <v>165</v>
      </c>
      <c r="N198" s="0" t="s">
        <v>105</v>
      </c>
      <c r="O198" s="0" t="s">
        <v>150</v>
      </c>
      <c r="P198" s="0" t="s">
        <v>150</v>
      </c>
      <c r="Q198" s="0" t="s">
        <v>151</v>
      </c>
      <c r="R198" s="0" t="s">
        <v>3897</v>
      </c>
      <c r="S198" s="0" t="s">
        <v>3898</v>
      </c>
      <c r="T198" s="0" t="s">
        <v>3819</v>
      </c>
      <c r="U198" s="0" t="s">
        <v>3820</v>
      </c>
      <c r="V198" s="0" t="s">
        <v>713</v>
      </c>
      <c r="W198" s="0" t="s">
        <v>3807</v>
      </c>
      <c r="X198" s="0" t="s">
        <v>3821</v>
      </c>
      <c r="Y198" s="0" t="s">
        <v>3820</v>
      </c>
      <c r="Z198" s="0" t="s">
        <v>4077</v>
      </c>
      <c r="AA198" s="0" t="s">
        <v>3901</v>
      </c>
      <c r="AB198" s="0" t="s">
        <v>4079</v>
      </c>
      <c r="AC198" s="0" t="s">
        <v>64</v>
      </c>
      <c r="AD198" s="0" t="s">
        <v>19</v>
      </c>
      <c r="AE198" s="0" t="s">
        <v>19</v>
      </c>
      <c r="AF198" s="0" t="s">
        <v>3629</v>
      </c>
      <c r="AG198" s="0" t="s">
        <v>4251</v>
      </c>
      <c r="AH198" s="0" t="s">
        <v>22</v>
      </c>
      <c r="AI198" s="0" t="s">
        <v>22</v>
      </c>
      <c r="AJ198" s="0" t="s">
        <v>22</v>
      </c>
      <c r="AK198" s="0" t="s">
        <v>22</v>
      </c>
    </row>
    <row customHeight="1" ht="11.25">
      <c r="A199" s="0" t="s">
        <v>22</v>
      </c>
      <c r="B199" s="0" t="s">
        <v>48</v>
      </c>
      <c r="C199" s="0" t="s">
        <v>50</v>
      </c>
      <c r="D199" s="0" t="s">
        <v>22</v>
      </c>
      <c r="E199" s="0" t="s">
        <v>4249</v>
      </c>
      <c r="F199" s="0" t="s">
        <v>3815</v>
      </c>
      <c r="G199" s="0" t="s">
        <v>150</v>
      </c>
      <c r="H199" s="0" t="s">
        <v>150</v>
      </c>
      <c r="I199" s="0" t="s">
        <v>151</v>
      </c>
      <c r="J199" s="0" t="s">
        <v>3897</v>
      </c>
      <c r="K199" s="0" t="s">
        <v>3898</v>
      </c>
      <c r="L199" s="0" t="s">
        <v>4250</v>
      </c>
      <c r="M199" s="0" t="s">
        <v>165</v>
      </c>
      <c r="N199" s="0" t="s">
        <v>105</v>
      </c>
      <c r="O199" s="0" t="s">
        <v>150</v>
      </c>
      <c r="P199" s="0" t="s">
        <v>150</v>
      </c>
      <c r="Q199" s="0" t="s">
        <v>151</v>
      </c>
      <c r="R199" s="0" t="s">
        <v>3897</v>
      </c>
      <c r="S199" s="0" t="s">
        <v>3898</v>
      </c>
      <c r="T199" s="0" t="s">
        <v>3819</v>
      </c>
      <c r="U199" s="0" t="s">
        <v>3820</v>
      </c>
      <c r="V199" s="0" t="s">
        <v>713</v>
      </c>
      <c r="W199" s="0" t="s">
        <v>3807</v>
      </c>
      <c r="X199" s="0" t="s">
        <v>3821</v>
      </c>
      <c r="Y199" s="0" t="s">
        <v>3820</v>
      </c>
      <c r="Z199" s="0" t="s">
        <v>4077</v>
      </c>
      <c r="AA199" s="0" t="s">
        <v>3901</v>
      </c>
      <c r="AB199" s="0" t="s">
        <v>4079</v>
      </c>
      <c r="AC199" s="0" t="s">
        <v>64</v>
      </c>
      <c r="AD199" s="0" t="s">
        <v>19</v>
      </c>
      <c r="AE199" s="0" t="s">
        <v>19</v>
      </c>
      <c r="AF199" s="0" t="s">
        <v>3629</v>
      </c>
      <c r="AG199" s="0" t="s">
        <v>4251</v>
      </c>
      <c r="AH199" s="0" t="s">
        <v>22</v>
      </c>
      <c r="AI199" s="0" t="s">
        <v>22</v>
      </c>
      <c r="AJ199" s="0" t="s">
        <v>22</v>
      </c>
      <c r="AK199" s="0" t="s">
        <v>22</v>
      </c>
    </row>
    <row customHeight="1" ht="11.25">
      <c r="A200" s="0" t="s">
        <v>22</v>
      </c>
      <c r="B200" s="0" t="s">
        <v>48</v>
      </c>
      <c r="C200" s="0" t="s">
        <v>50</v>
      </c>
      <c r="D200" s="0" t="s">
        <v>22</v>
      </c>
      <c r="E200" s="0" t="s">
        <v>4252</v>
      </c>
      <c r="F200" s="0" t="s">
        <v>3815</v>
      </c>
      <c r="G200" s="0" t="s">
        <v>150</v>
      </c>
      <c r="H200" s="0" t="s">
        <v>150</v>
      </c>
      <c r="I200" s="0" t="s">
        <v>151</v>
      </c>
      <c r="J200" s="0" t="s">
        <v>3897</v>
      </c>
      <c r="K200" s="0" t="s">
        <v>3898</v>
      </c>
      <c r="L200" s="0" t="s">
        <v>4085</v>
      </c>
      <c r="M200" s="0" t="s">
        <v>4253</v>
      </c>
      <c r="N200" s="0" t="s">
        <v>105</v>
      </c>
      <c r="O200" s="0" t="s">
        <v>150</v>
      </c>
      <c r="P200" s="0" t="s">
        <v>150</v>
      </c>
      <c r="Q200" s="0" t="s">
        <v>151</v>
      </c>
      <c r="R200" s="0" t="s">
        <v>3897</v>
      </c>
      <c r="S200" s="0" t="s">
        <v>3898</v>
      </c>
      <c r="T200" s="0" t="s">
        <v>3819</v>
      </c>
      <c r="U200" s="0" t="s">
        <v>3820</v>
      </c>
      <c r="V200" s="0" t="s">
        <v>713</v>
      </c>
      <c r="W200" s="0" t="s">
        <v>3807</v>
      </c>
      <c r="X200" s="0" t="s">
        <v>3821</v>
      </c>
      <c r="Y200" s="0" t="s">
        <v>3820</v>
      </c>
      <c r="Z200" s="0" t="s">
        <v>3900</v>
      </c>
      <c r="AA200" s="0" t="s">
        <v>3901</v>
      </c>
      <c r="AB200" s="0" t="s">
        <v>3902</v>
      </c>
      <c r="AC200" s="0" t="s">
        <v>64</v>
      </c>
      <c r="AD200" s="0" t="s">
        <v>19</v>
      </c>
      <c r="AE200" s="0" t="s">
        <v>19</v>
      </c>
      <c r="AF200" s="0" t="s">
        <v>3629</v>
      </c>
      <c r="AG200" s="0" t="s">
        <v>514</v>
      </c>
      <c r="AH200" s="0" t="s">
        <v>22</v>
      </c>
      <c r="AI200" s="0" t="s">
        <v>22</v>
      </c>
      <c r="AJ200" s="0" t="s">
        <v>22</v>
      </c>
      <c r="AK200" s="0" t="s">
        <v>22</v>
      </c>
    </row>
    <row customHeight="1" ht="11.25">
      <c r="A201" s="0" t="s">
        <v>22</v>
      </c>
      <c r="B201" s="0" t="s">
        <v>48</v>
      </c>
      <c r="C201" s="0" t="s">
        <v>50</v>
      </c>
      <c r="D201" s="0" t="s">
        <v>22</v>
      </c>
      <c r="E201" s="0" t="s">
        <v>4252</v>
      </c>
      <c r="F201" s="0" t="s">
        <v>3815</v>
      </c>
      <c r="G201" s="0" t="s">
        <v>150</v>
      </c>
      <c r="H201" s="0" t="s">
        <v>150</v>
      </c>
      <c r="I201" s="0" t="s">
        <v>151</v>
      </c>
      <c r="J201" s="0" t="s">
        <v>3897</v>
      </c>
      <c r="K201" s="0" t="s">
        <v>3898</v>
      </c>
      <c r="L201" s="0" t="s">
        <v>4085</v>
      </c>
      <c r="M201" s="0" t="s">
        <v>4253</v>
      </c>
      <c r="N201" s="0" t="s">
        <v>105</v>
      </c>
      <c r="O201" s="0" t="s">
        <v>150</v>
      </c>
      <c r="P201" s="0" t="s">
        <v>150</v>
      </c>
      <c r="Q201" s="0" t="s">
        <v>151</v>
      </c>
      <c r="R201" s="0" t="s">
        <v>3897</v>
      </c>
      <c r="S201" s="0" t="s">
        <v>3898</v>
      </c>
      <c r="T201" s="0" t="s">
        <v>3819</v>
      </c>
      <c r="U201" s="0" t="s">
        <v>3820</v>
      </c>
      <c r="V201" s="0" t="s">
        <v>713</v>
      </c>
      <c r="W201" s="0" t="s">
        <v>3807</v>
      </c>
      <c r="X201" s="0" t="s">
        <v>3821</v>
      </c>
      <c r="Y201" s="0" t="s">
        <v>3820</v>
      </c>
      <c r="Z201" s="0" t="s">
        <v>3900</v>
      </c>
      <c r="AA201" s="0" t="s">
        <v>3901</v>
      </c>
      <c r="AB201" s="0" t="s">
        <v>3902</v>
      </c>
      <c r="AC201" s="0" t="s">
        <v>64</v>
      </c>
      <c r="AD201" s="0" t="s">
        <v>19</v>
      </c>
      <c r="AE201" s="0" t="s">
        <v>19</v>
      </c>
      <c r="AF201" s="0" t="s">
        <v>3629</v>
      </c>
      <c r="AG201" s="0" t="s">
        <v>514</v>
      </c>
      <c r="AH201" s="0" t="s">
        <v>22</v>
      </c>
      <c r="AI201" s="0" t="s">
        <v>22</v>
      </c>
      <c r="AJ201" s="0" t="s">
        <v>22</v>
      </c>
      <c r="AK201" s="0" t="s">
        <v>22</v>
      </c>
    </row>
    <row customHeight="1" ht="11.25">
      <c r="A202" s="0" t="s">
        <v>22</v>
      </c>
      <c r="B202" s="0" t="s">
        <v>48</v>
      </c>
      <c r="C202" s="0" t="s">
        <v>50</v>
      </c>
      <c r="D202" s="0" t="s">
        <v>22</v>
      </c>
      <c r="E202" s="0" t="s">
        <v>4254</v>
      </c>
      <c r="F202" s="0" t="s">
        <v>3815</v>
      </c>
      <c r="G202" s="0" t="s">
        <v>123</v>
      </c>
      <c r="H202" s="0" t="s">
        <v>124</v>
      </c>
      <c r="I202" s="0" t="s">
        <v>125</v>
      </c>
      <c r="J202" s="0" t="s">
        <v>4204</v>
      </c>
      <c r="K202" s="0" t="s">
        <v>4205</v>
      </c>
      <c r="L202" s="0" t="s">
        <v>1331</v>
      </c>
      <c r="M202" s="0" t="s">
        <v>3818</v>
      </c>
      <c r="N202" s="0" t="s">
        <v>105</v>
      </c>
      <c r="O202" s="0" t="s">
        <v>123</v>
      </c>
      <c r="P202" s="0" t="s">
        <v>124</v>
      </c>
      <c r="Q202" s="0" t="s">
        <v>125</v>
      </c>
      <c r="R202" s="0" t="s">
        <v>4204</v>
      </c>
      <c r="S202" s="0" t="s">
        <v>4205</v>
      </c>
      <c r="T202" s="0" t="s">
        <v>3805</v>
      </c>
      <c r="U202" s="0" t="s">
        <v>3806</v>
      </c>
      <c r="V202" s="0" t="s">
        <v>713</v>
      </c>
      <c r="W202" s="0" t="s">
        <v>3807</v>
      </c>
      <c r="X202" s="0" t="s">
        <v>3854</v>
      </c>
      <c r="Y202" s="0" t="s">
        <v>3806</v>
      </c>
      <c r="Z202" s="0" t="s">
        <v>4255</v>
      </c>
      <c r="AA202" s="0" t="s">
        <v>4207</v>
      </c>
      <c r="AB202" s="0" t="s">
        <v>4256</v>
      </c>
      <c r="AC202" s="0" t="s">
        <v>64</v>
      </c>
      <c r="AD202" s="0" t="s">
        <v>19</v>
      </c>
      <c r="AE202" s="0" t="s">
        <v>19</v>
      </c>
      <c r="AF202" s="0" t="s">
        <v>155</v>
      </c>
      <c r="AG202" s="0" t="s">
        <v>1362</v>
      </c>
      <c r="AH202" s="0" t="s">
        <v>22</v>
      </c>
      <c r="AI202" s="0" t="s">
        <v>22</v>
      </c>
      <c r="AJ202" s="0" t="s">
        <v>22</v>
      </c>
      <c r="AK202" s="0" t="s">
        <v>22</v>
      </c>
    </row>
    <row customHeight="1" ht="11.25">
      <c r="A203" s="0" t="s">
        <v>22</v>
      </c>
      <c r="B203" s="0" t="s">
        <v>48</v>
      </c>
      <c r="C203" s="0" t="s">
        <v>50</v>
      </c>
      <c r="D203" s="0" t="s">
        <v>22</v>
      </c>
      <c r="E203" s="0" t="s">
        <v>4254</v>
      </c>
      <c r="F203" s="0" t="s">
        <v>3815</v>
      </c>
      <c r="G203" s="0" t="s">
        <v>123</v>
      </c>
      <c r="H203" s="0" t="s">
        <v>124</v>
      </c>
      <c r="I203" s="0" t="s">
        <v>125</v>
      </c>
      <c r="J203" s="0" t="s">
        <v>4204</v>
      </c>
      <c r="K203" s="0" t="s">
        <v>4205</v>
      </c>
      <c r="L203" s="0" t="s">
        <v>1331</v>
      </c>
      <c r="M203" s="0" t="s">
        <v>3818</v>
      </c>
      <c r="N203" s="0" t="s">
        <v>105</v>
      </c>
      <c r="O203" s="0" t="s">
        <v>123</v>
      </c>
      <c r="P203" s="0" t="s">
        <v>124</v>
      </c>
      <c r="Q203" s="0" t="s">
        <v>125</v>
      </c>
      <c r="R203" s="0" t="s">
        <v>4204</v>
      </c>
      <c r="S203" s="0" t="s">
        <v>4205</v>
      </c>
      <c r="T203" s="0" t="s">
        <v>3805</v>
      </c>
      <c r="U203" s="0" t="s">
        <v>3806</v>
      </c>
      <c r="V203" s="0" t="s">
        <v>713</v>
      </c>
      <c r="W203" s="0" t="s">
        <v>3807</v>
      </c>
      <c r="X203" s="0" t="s">
        <v>3854</v>
      </c>
      <c r="Y203" s="0" t="s">
        <v>3806</v>
      </c>
      <c r="Z203" s="0" t="s">
        <v>4255</v>
      </c>
      <c r="AA203" s="0" t="s">
        <v>4207</v>
      </c>
      <c r="AB203" s="0" t="s">
        <v>4256</v>
      </c>
      <c r="AC203" s="0" t="s">
        <v>64</v>
      </c>
      <c r="AD203" s="0" t="s">
        <v>19</v>
      </c>
      <c r="AE203" s="0" t="s">
        <v>19</v>
      </c>
      <c r="AF203" s="0" t="s">
        <v>155</v>
      </c>
      <c r="AG203" s="0" t="s">
        <v>1362</v>
      </c>
      <c r="AH203" s="0" t="s">
        <v>22</v>
      </c>
      <c r="AI203" s="0" t="s">
        <v>22</v>
      </c>
      <c r="AJ203" s="0" t="s">
        <v>22</v>
      </c>
      <c r="AK203" s="0" t="s">
        <v>22</v>
      </c>
    </row>
    <row customHeight="1" ht="11.25">
      <c r="A204" s="0" t="s">
        <v>22</v>
      </c>
      <c r="B204" s="0" t="s">
        <v>48</v>
      </c>
      <c r="C204" s="0" t="s">
        <v>50</v>
      </c>
      <c r="D204" s="0" t="s">
        <v>22</v>
      </c>
      <c r="E204" s="0" t="s">
        <v>4257</v>
      </c>
      <c r="F204" s="0" t="s">
        <v>3815</v>
      </c>
      <c r="G204" s="0" t="s">
        <v>150</v>
      </c>
      <c r="H204" s="0" t="s">
        <v>150</v>
      </c>
      <c r="I204" s="0" t="s">
        <v>151</v>
      </c>
      <c r="J204" s="0" t="s">
        <v>3897</v>
      </c>
      <c r="K204" s="0" t="s">
        <v>3898</v>
      </c>
      <c r="L204" s="0" t="s">
        <v>3818</v>
      </c>
      <c r="M204" s="0" t="s">
        <v>3818</v>
      </c>
      <c r="N204" s="0" t="s">
        <v>105</v>
      </c>
      <c r="O204" s="0" t="s">
        <v>150</v>
      </c>
      <c r="P204" s="0" t="s">
        <v>150</v>
      </c>
      <c r="Q204" s="0" t="s">
        <v>151</v>
      </c>
      <c r="R204" s="0" t="s">
        <v>3897</v>
      </c>
      <c r="S204" s="0" t="s">
        <v>3898</v>
      </c>
      <c r="T204" s="0" t="s">
        <v>3819</v>
      </c>
      <c r="U204" s="0" t="s">
        <v>3820</v>
      </c>
      <c r="V204" s="0" t="s">
        <v>713</v>
      </c>
      <c r="W204" s="0" t="s">
        <v>3807</v>
      </c>
      <c r="X204" s="0" t="s">
        <v>3821</v>
      </c>
      <c r="Y204" s="0" t="s">
        <v>3820</v>
      </c>
      <c r="Z204" s="0" t="s">
        <v>4077</v>
      </c>
      <c r="AA204" s="0" t="s">
        <v>3901</v>
      </c>
      <c r="AB204" s="0" t="s">
        <v>4079</v>
      </c>
      <c r="AC204" s="0" t="s">
        <v>64</v>
      </c>
      <c r="AD204" s="0" t="s">
        <v>19</v>
      </c>
      <c r="AE204" s="0" t="s">
        <v>19</v>
      </c>
      <c r="AF204" s="0" t="s">
        <v>1953</v>
      </c>
      <c r="AG204" s="0" t="s">
        <v>4202</v>
      </c>
      <c r="AH204" s="0" t="s">
        <v>22</v>
      </c>
      <c r="AI204" s="0" t="s">
        <v>22</v>
      </c>
      <c r="AJ204" s="0" t="s">
        <v>22</v>
      </c>
      <c r="AK204" s="0" t="s">
        <v>22</v>
      </c>
    </row>
    <row customHeight="1" ht="11.25">
      <c r="A205" s="0" t="s">
        <v>22</v>
      </c>
      <c r="B205" s="0" t="s">
        <v>48</v>
      </c>
      <c r="C205" s="0" t="s">
        <v>50</v>
      </c>
      <c r="D205" s="0" t="s">
        <v>22</v>
      </c>
      <c r="E205" s="0" t="s">
        <v>4257</v>
      </c>
      <c r="F205" s="0" t="s">
        <v>3815</v>
      </c>
      <c r="G205" s="0" t="s">
        <v>150</v>
      </c>
      <c r="H205" s="0" t="s">
        <v>150</v>
      </c>
      <c r="I205" s="0" t="s">
        <v>151</v>
      </c>
      <c r="J205" s="0" t="s">
        <v>3897</v>
      </c>
      <c r="K205" s="0" t="s">
        <v>3898</v>
      </c>
      <c r="L205" s="0" t="s">
        <v>3818</v>
      </c>
      <c r="M205" s="0" t="s">
        <v>3818</v>
      </c>
      <c r="N205" s="0" t="s">
        <v>105</v>
      </c>
      <c r="O205" s="0" t="s">
        <v>150</v>
      </c>
      <c r="P205" s="0" t="s">
        <v>150</v>
      </c>
      <c r="Q205" s="0" t="s">
        <v>151</v>
      </c>
      <c r="R205" s="0" t="s">
        <v>3897</v>
      </c>
      <c r="S205" s="0" t="s">
        <v>3898</v>
      </c>
      <c r="T205" s="0" t="s">
        <v>3819</v>
      </c>
      <c r="U205" s="0" t="s">
        <v>3820</v>
      </c>
      <c r="V205" s="0" t="s">
        <v>713</v>
      </c>
      <c r="W205" s="0" t="s">
        <v>3807</v>
      </c>
      <c r="X205" s="0" t="s">
        <v>3821</v>
      </c>
      <c r="Y205" s="0" t="s">
        <v>3820</v>
      </c>
      <c r="Z205" s="0" t="s">
        <v>4077</v>
      </c>
      <c r="AA205" s="0" t="s">
        <v>3901</v>
      </c>
      <c r="AB205" s="0" t="s">
        <v>4079</v>
      </c>
      <c r="AC205" s="0" t="s">
        <v>64</v>
      </c>
      <c r="AD205" s="0" t="s">
        <v>19</v>
      </c>
      <c r="AE205" s="0" t="s">
        <v>19</v>
      </c>
      <c r="AF205" s="0" t="s">
        <v>1953</v>
      </c>
      <c r="AG205" s="0" t="s">
        <v>4202</v>
      </c>
      <c r="AH205" s="0" t="s">
        <v>22</v>
      </c>
      <c r="AI205" s="0" t="s">
        <v>22</v>
      </c>
      <c r="AJ205" s="0" t="s">
        <v>22</v>
      </c>
      <c r="AK205" s="0" t="s">
        <v>22</v>
      </c>
    </row>
    <row customHeight="1" ht="11.25">
      <c r="A206" s="0" t="s">
        <v>22</v>
      </c>
      <c r="B206" s="0" t="s">
        <v>48</v>
      </c>
      <c r="C206" s="0" t="s">
        <v>50</v>
      </c>
      <c r="D206" s="0" t="s">
        <v>22</v>
      </c>
      <c r="E206" s="0" t="s">
        <v>4258</v>
      </c>
      <c r="F206" s="0" t="s">
        <v>3815</v>
      </c>
      <c r="G206" s="0" t="s">
        <v>150</v>
      </c>
      <c r="H206" s="0" t="s">
        <v>150</v>
      </c>
      <c r="I206" s="0" t="s">
        <v>151</v>
      </c>
      <c r="J206" s="0" t="s">
        <v>3897</v>
      </c>
      <c r="K206" s="0" t="s">
        <v>3898</v>
      </c>
      <c r="L206" s="0" t="s">
        <v>4259</v>
      </c>
      <c r="M206" s="0" t="s">
        <v>4260</v>
      </c>
      <c r="N206" s="0" t="s">
        <v>105</v>
      </c>
      <c r="O206" s="0" t="s">
        <v>150</v>
      </c>
      <c r="P206" s="0" t="s">
        <v>150</v>
      </c>
      <c r="Q206" s="0" t="s">
        <v>151</v>
      </c>
      <c r="R206" s="0" t="s">
        <v>3897</v>
      </c>
      <c r="S206" s="0" t="s">
        <v>3898</v>
      </c>
      <c r="T206" s="0" t="s">
        <v>3819</v>
      </c>
      <c r="U206" s="0" t="s">
        <v>3820</v>
      </c>
      <c r="V206" s="0" t="s">
        <v>713</v>
      </c>
      <c r="W206" s="0" t="s">
        <v>3807</v>
      </c>
      <c r="X206" s="0" t="s">
        <v>3821</v>
      </c>
      <c r="Y206" s="0" t="s">
        <v>3820</v>
      </c>
      <c r="Z206" s="0" t="s">
        <v>4077</v>
      </c>
      <c r="AA206" s="0" t="s">
        <v>3901</v>
      </c>
      <c r="AB206" s="0" t="s">
        <v>4079</v>
      </c>
      <c r="AC206" s="0" t="s">
        <v>64</v>
      </c>
      <c r="AD206" s="0" t="s">
        <v>19</v>
      </c>
      <c r="AE206" s="0" t="s">
        <v>19</v>
      </c>
      <c r="AF206" s="0" t="s">
        <v>1953</v>
      </c>
      <c r="AG206" s="0" t="s">
        <v>4261</v>
      </c>
      <c r="AH206" s="0" t="s">
        <v>22</v>
      </c>
      <c r="AI206" s="0" t="s">
        <v>22</v>
      </c>
      <c r="AJ206" s="0" t="s">
        <v>22</v>
      </c>
      <c r="AK206" s="0" t="s">
        <v>22</v>
      </c>
    </row>
    <row customHeight="1" ht="11.25">
      <c r="A207" s="0" t="s">
        <v>22</v>
      </c>
      <c r="B207" s="0" t="s">
        <v>48</v>
      </c>
      <c r="C207" s="0" t="s">
        <v>50</v>
      </c>
      <c r="D207" s="0" t="s">
        <v>22</v>
      </c>
      <c r="E207" s="0" t="s">
        <v>4258</v>
      </c>
      <c r="F207" s="0" t="s">
        <v>3815</v>
      </c>
      <c r="G207" s="0" t="s">
        <v>150</v>
      </c>
      <c r="H207" s="0" t="s">
        <v>150</v>
      </c>
      <c r="I207" s="0" t="s">
        <v>151</v>
      </c>
      <c r="J207" s="0" t="s">
        <v>3897</v>
      </c>
      <c r="K207" s="0" t="s">
        <v>3898</v>
      </c>
      <c r="L207" s="0" t="s">
        <v>4259</v>
      </c>
      <c r="M207" s="0" t="s">
        <v>4260</v>
      </c>
      <c r="N207" s="0" t="s">
        <v>105</v>
      </c>
      <c r="O207" s="0" t="s">
        <v>150</v>
      </c>
      <c r="P207" s="0" t="s">
        <v>150</v>
      </c>
      <c r="Q207" s="0" t="s">
        <v>151</v>
      </c>
      <c r="R207" s="0" t="s">
        <v>3897</v>
      </c>
      <c r="S207" s="0" t="s">
        <v>3898</v>
      </c>
      <c r="T207" s="0" t="s">
        <v>3819</v>
      </c>
      <c r="U207" s="0" t="s">
        <v>3820</v>
      </c>
      <c r="V207" s="0" t="s">
        <v>713</v>
      </c>
      <c r="W207" s="0" t="s">
        <v>3807</v>
      </c>
      <c r="X207" s="0" t="s">
        <v>3821</v>
      </c>
      <c r="Y207" s="0" t="s">
        <v>3820</v>
      </c>
      <c r="Z207" s="0" t="s">
        <v>4077</v>
      </c>
      <c r="AA207" s="0" t="s">
        <v>3901</v>
      </c>
      <c r="AB207" s="0" t="s">
        <v>4079</v>
      </c>
      <c r="AC207" s="0" t="s">
        <v>64</v>
      </c>
      <c r="AD207" s="0" t="s">
        <v>19</v>
      </c>
      <c r="AE207" s="0" t="s">
        <v>19</v>
      </c>
      <c r="AF207" s="0" t="s">
        <v>1953</v>
      </c>
      <c r="AG207" s="0" t="s">
        <v>4261</v>
      </c>
      <c r="AH207" s="0" t="s">
        <v>22</v>
      </c>
      <c r="AI207" s="0" t="s">
        <v>22</v>
      </c>
      <c r="AJ207" s="0" t="s">
        <v>22</v>
      </c>
      <c r="AK207" s="0" t="s">
        <v>22</v>
      </c>
    </row>
    <row customHeight="1" ht="11.25">
      <c r="A208" s="0" t="s">
        <v>22</v>
      </c>
      <c r="B208" s="0" t="s">
        <v>48</v>
      </c>
      <c r="C208" s="0" t="s">
        <v>50</v>
      </c>
      <c r="D208" s="0" t="s">
        <v>22</v>
      </c>
      <c r="E208" s="0" t="s">
        <v>4262</v>
      </c>
      <c r="F208" s="0" t="s">
        <v>3815</v>
      </c>
      <c r="G208" s="0" t="s">
        <v>150</v>
      </c>
      <c r="H208" s="0" t="s">
        <v>150</v>
      </c>
      <c r="I208" s="0" t="s">
        <v>151</v>
      </c>
      <c r="J208" s="0" t="s">
        <v>3897</v>
      </c>
      <c r="K208" s="0" t="s">
        <v>3898</v>
      </c>
      <c r="L208" s="0" t="s">
        <v>4259</v>
      </c>
      <c r="M208" s="0" t="s">
        <v>4260</v>
      </c>
      <c r="N208" s="0" t="s">
        <v>105</v>
      </c>
      <c r="O208" s="0" t="s">
        <v>150</v>
      </c>
      <c r="P208" s="0" t="s">
        <v>150</v>
      </c>
      <c r="Q208" s="0" t="s">
        <v>151</v>
      </c>
      <c r="R208" s="0" t="s">
        <v>3897</v>
      </c>
      <c r="S208" s="0" t="s">
        <v>3898</v>
      </c>
      <c r="T208" s="0" t="s">
        <v>3819</v>
      </c>
      <c r="U208" s="0" t="s">
        <v>3820</v>
      </c>
      <c r="V208" s="0" t="s">
        <v>713</v>
      </c>
      <c r="W208" s="0" t="s">
        <v>3807</v>
      </c>
      <c r="X208" s="0" t="s">
        <v>3821</v>
      </c>
      <c r="Y208" s="0" t="s">
        <v>3820</v>
      </c>
      <c r="Z208" s="0" t="s">
        <v>4077</v>
      </c>
      <c r="AA208" s="0" t="s">
        <v>3901</v>
      </c>
      <c r="AB208" s="0" t="s">
        <v>4079</v>
      </c>
      <c r="AC208" s="0" t="s">
        <v>64</v>
      </c>
      <c r="AD208" s="0" t="s">
        <v>19</v>
      </c>
      <c r="AE208" s="0" t="s">
        <v>19</v>
      </c>
      <c r="AF208" s="0" t="s">
        <v>1953</v>
      </c>
      <c r="AG208" s="0" t="s">
        <v>4261</v>
      </c>
      <c r="AH208" s="0" t="s">
        <v>22</v>
      </c>
      <c r="AI208" s="0" t="s">
        <v>22</v>
      </c>
      <c r="AJ208" s="0" t="s">
        <v>22</v>
      </c>
      <c r="AK208" s="0" t="s">
        <v>22</v>
      </c>
    </row>
    <row customHeight="1" ht="11.25">
      <c r="A209" s="0" t="s">
        <v>22</v>
      </c>
      <c r="B209" s="0" t="s">
        <v>48</v>
      </c>
      <c r="C209" s="0" t="s">
        <v>50</v>
      </c>
      <c r="D209" s="0" t="s">
        <v>22</v>
      </c>
      <c r="E209" s="0" t="s">
        <v>4262</v>
      </c>
      <c r="F209" s="0" t="s">
        <v>3815</v>
      </c>
      <c r="G209" s="0" t="s">
        <v>150</v>
      </c>
      <c r="H209" s="0" t="s">
        <v>150</v>
      </c>
      <c r="I209" s="0" t="s">
        <v>151</v>
      </c>
      <c r="J209" s="0" t="s">
        <v>3897</v>
      </c>
      <c r="K209" s="0" t="s">
        <v>3898</v>
      </c>
      <c r="L209" s="0" t="s">
        <v>4259</v>
      </c>
      <c r="M209" s="0" t="s">
        <v>4260</v>
      </c>
      <c r="N209" s="0" t="s">
        <v>105</v>
      </c>
      <c r="O209" s="0" t="s">
        <v>150</v>
      </c>
      <c r="P209" s="0" t="s">
        <v>150</v>
      </c>
      <c r="Q209" s="0" t="s">
        <v>151</v>
      </c>
      <c r="R209" s="0" t="s">
        <v>3897</v>
      </c>
      <c r="S209" s="0" t="s">
        <v>3898</v>
      </c>
      <c r="T209" s="0" t="s">
        <v>3819</v>
      </c>
      <c r="U209" s="0" t="s">
        <v>3820</v>
      </c>
      <c r="V209" s="0" t="s">
        <v>713</v>
      </c>
      <c r="W209" s="0" t="s">
        <v>3807</v>
      </c>
      <c r="X209" s="0" t="s">
        <v>3821</v>
      </c>
      <c r="Y209" s="0" t="s">
        <v>3820</v>
      </c>
      <c r="Z209" s="0" t="s">
        <v>4077</v>
      </c>
      <c r="AA209" s="0" t="s">
        <v>3901</v>
      </c>
      <c r="AB209" s="0" t="s">
        <v>4079</v>
      </c>
      <c r="AC209" s="0" t="s">
        <v>64</v>
      </c>
      <c r="AD209" s="0" t="s">
        <v>19</v>
      </c>
      <c r="AE209" s="0" t="s">
        <v>19</v>
      </c>
      <c r="AF209" s="0" t="s">
        <v>1953</v>
      </c>
      <c r="AG209" s="0" t="s">
        <v>4261</v>
      </c>
      <c r="AH209" s="0" t="s">
        <v>22</v>
      </c>
      <c r="AI209" s="0" t="s">
        <v>22</v>
      </c>
      <c r="AJ209" s="0" t="s">
        <v>22</v>
      </c>
      <c r="AK209" s="0" t="s">
        <v>22</v>
      </c>
    </row>
    <row customHeight="1" ht="11.25">
      <c r="A210" s="0" t="s">
        <v>22</v>
      </c>
      <c r="B210" s="0" t="s">
        <v>48</v>
      </c>
      <c r="C210" s="0" t="s">
        <v>50</v>
      </c>
      <c r="D210" s="0" t="s">
        <v>22</v>
      </c>
      <c r="E210" s="0" t="s">
        <v>4263</v>
      </c>
      <c r="F210" s="0" t="s">
        <v>3815</v>
      </c>
      <c r="G210" s="0" t="s">
        <v>153</v>
      </c>
      <c r="H210" s="0" t="s">
        <v>3646</v>
      </c>
      <c r="I210" s="0" t="s">
        <v>3647</v>
      </c>
      <c r="J210" s="0" t="s">
        <v>4264</v>
      </c>
      <c r="K210" s="0" t="s">
        <v>4265</v>
      </c>
      <c r="L210" s="0" t="s">
        <v>4266</v>
      </c>
      <c r="M210" s="0" t="s">
        <v>105</v>
      </c>
      <c r="N210" s="0" t="s">
        <v>105</v>
      </c>
      <c r="O210" s="0" t="s">
        <v>153</v>
      </c>
      <c r="P210" s="0" t="s">
        <v>3646</v>
      </c>
      <c r="Q210" s="0" t="s">
        <v>3647</v>
      </c>
      <c r="R210" s="0" t="s">
        <v>4264</v>
      </c>
      <c r="S210" s="0" t="s">
        <v>4265</v>
      </c>
      <c r="T210" s="0" t="s">
        <v>3819</v>
      </c>
      <c r="U210" s="0" t="s">
        <v>3820</v>
      </c>
      <c r="V210" s="0" t="s">
        <v>713</v>
      </c>
      <c r="W210" s="0" t="s">
        <v>3807</v>
      </c>
      <c r="X210" s="0" t="s">
        <v>3821</v>
      </c>
      <c r="Y210" s="0" t="s">
        <v>3820</v>
      </c>
      <c r="Z210" s="0" t="s">
        <v>4267</v>
      </c>
      <c r="AA210" s="0" t="s">
        <v>3901</v>
      </c>
      <c r="AB210" s="0" t="s">
        <v>4268</v>
      </c>
      <c r="AC210" s="0" t="s">
        <v>64</v>
      </c>
      <c r="AD210" s="0" t="s">
        <v>19</v>
      </c>
      <c r="AE210" s="0" t="s">
        <v>19</v>
      </c>
      <c r="AF210" s="0" t="s">
        <v>1887</v>
      </c>
      <c r="AG210" s="0" t="s">
        <v>514</v>
      </c>
      <c r="AH210" s="0" t="s">
        <v>22</v>
      </c>
      <c r="AI210" s="0" t="s">
        <v>22</v>
      </c>
      <c r="AJ210" s="0" t="s">
        <v>22</v>
      </c>
      <c r="AK210" s="0" t="s">
        <v>22</v>
      </c>
    </row>
    <row customHeight="1" ht="11.25">
      <c r="A211" s="0" t="s">
        <v>22</v>
      </c>
      <c r="B211" s="0" t="s">
        <v>48</v>
      </c>
      <c r="C211" s="0" t="s">
        <v>50</v>
      </c>
      <c r="D211" s="0" t="s">
        <v>22</v>
      </c>
      <c r="E211" s="0" t="s">
        <v>4263</v>
      </c>
      <c r="F211" s="0" t="s">
        <v>3815</v>
      </c>
      <c r="G211" s="0" t="s">
        <v>153</v>
      </c>
      <c r="H211" s="0" t="s">
        <v>3646</v>
      </c>
      <c r="I211" s="0" t="s">
        <v>3647</v>
      </c>
      <c r="J211" s="0" t="s">
        <v>4264</v>
      </c>
      <c r="K211" s="0" t="s">
        <v>4265</v>
      </c>
      <c r="L211" s="0" t="s">
        <v>4266</v>
      </c>
      <c r="M211" s="0" t="s">
        <v>105</v>
      </c>
      <c r="N211" s="0" t="s">
        <v>105</v>
      </c>
      <c r="O211" s="0" t="s">
        <v>153</v>
      </c>
      <c r="P211" s="0" t="s">
        <v>3646</v>
      </c>
      <c r="Q211" s="0" t="s">
        <v>3647</v>
      </c>
      <c r="R211" s="0" t="s">
        <v>4264</v>
      </c>
      <c r="S211" s="0" t="s">
        <v>4265</v>
      </c>
      <c r="T211" s="0" t="s">
        <v>3819</v>
      </c>
      <c r="U211" s="0" t="s">
        <v>3820</v>
      </c>
      <c r="V211" s="0" t="s">
        <v>713</v>
      </c>
      <c r="W211" s="0" t="s">
        <v>3807</v>
      </c>
      <c r="X211" s="0" t="s">
        <v>3821</v>
      </c>
      <c r="Y211" s="0" t="s">
        <v>3820</v>
      </c>
      <c r="Z211" s="0" t="s">
        <v>4267</v>
      </c>
      <c r="AA211" s="0" t="s">
        <v>3901</v>
      </c>
      <c r="AB211" s="0" t="s">
        <v>4268</v>
      </c>
      <c r="AC211" s="0" t="s">
        <v>64</v>
      </c>
      <c r="AD211" s="0" t="s">
        <v>19</v>
      </c>
      <c r="AE211" s="0" t="s">
        <v>19</v>
      </c>
      <c r="AF211" s="0" t="s">
        <v>1887</v>
      </c>
      <c r="AG211" s="0" t="s">
        <v>514</v>
      </c>
      <c r="AH211" s="0" t="s">
        <v>22</v>
      </c>
      <c r="AI211" s="0" t="s">
        <v>22</v>
      </c>
      <c r="AJ211" s="0" t="s">
        <v>22</v>
      </c>
      <c r="AK211" s="0" t="s">
        <v>22</v>
      </c>
    </row>
    <row customHeight="1" ht="11.25">
      <c r="A212" s="0" t="s">
        <v>22</v>
      </c>
      <c r="B212" s="0" t="s">
        <v>48</v>
      </c>
      <c r="C212" s="0" t="s">
        <v>50</v>
      </c>
      <c r="D212" s="0" t="s">
        <v>22</v>
      </c>
      <c r="E212" s="0" t="s">
        <v>1317</v>
      </c>
      <c r="F212" s="0" t="s">
        <v>1305</v>
      </c>
      <c r="G212" s="0" t="s">
        <v>1306</v>
      </c>
      <c r="H212" s="0" t="s">
        <v>1306</v>
      </c>
      <c r="I212" s="0" t="s">
        <v>1307</v>
      </c>
      <c r="J212" s="0" t="s">
        <v>1308</v>
      </c>
      <c r="K212" s="0" t="s">
        <v>1309</v>
      </c>
      <c r="L212" s="0" t="s">
        <v>1318</v>
      </c>
      <c r="M212" s="0" t="s">
        <v>1319</v>
      </c>
      <c r="N212" s="0" t="s">
        <v>105</v>
      </c>
      <c r="O212" s="0" t="s">
        <v>1306</v>
      </c>
      <c r="P212" s="0" t="s">
        <v>1306</v>
      </c>
      <c r="Q212" s="0" t="s">
        <v>1307</v>
      </c>
      <c r="R212" s="0" t="s">
        <v>1308</v>
      </c>
      <c r="S212" s="0" t="s">
        <v>1309</v>
      </c>
      <c r="T212" s="0" t="s">
        <v>3819</v>
      </c>
      <c r="U212" s="0" t="s">
        <v>3820</v>
      </c>
      <c r="V212" s="0" t="s">
        <v>713</v>
      </c>
      <c r="W212" s="0" t="s">
        <v>3807</v>
      </c>
      <c r="X212" s="0" t="s">
        <v>3821</v>
      </c>
      <c r="Y212" s="0" t="s">
        <v>3820</v>
      </c>
      <c r="Z212" s="0" t="s">
        <v>3882</v>
      </c>
      <c r="AA212" s="0" t="s">
        <v>3883</v>
      </c>
      <c r="AB212" s="0" t="s">
        <v>3840</v>
      </c>
      <c r="AC212" s="0" t="s">
        <v>64</v>
      </c>
      <c r="AD212" s="0" t="s">
        <v>19</v>
      </c>
      <c r="AE212" s="0" t="s">
        <v>64</v>
      </c>
      <c r="AF212" s="0" t="s">
        <v>155</v>
      </c>
      <c r="AG212" s="0" t="s">
        <v>514</v>
      </c>
      <c r="AH212" s="0" t="s">
        <v>22</v>
      </c>
      <c r="AI212" s="0" t="s">
        <v>22</v>
      </c>
      <c r="AJ212" s="0" t="s">
        <v>155</v>
      </c>
      <c r="AK212" s="0" t="s">
        <v>514</v>
      </c>
    </row>
    <row customHeight="1" ht="11.25">
      <c r="A213" s="0" t="s">
        <v>22</v>
      </c>
      <c r="B213" s="0" t="s">
        <v>48</v>
      </c>
      <c r="C213" s="0" t="s">
        <v>50</v>
      </c>
      <c r="D213" s="0" t="s">
        <v>22</v>
      </c>
      <c r="E213" s="0" t="s">
        <v>1317</v>
      </c>
      <c r="F213" s="0" t="s">
        <v>1305</v>
      </c>
      <c r="G213" s="0" t="s">
        <v>110</v>
      </c>
      <c r="H213" s="0" t="s">
        <v>111</v>
      </c>
      <c r="I213" s="0" t="s">
        <v>112</v>
      </c>
      <c r="J213" s="0" t="s">
        <v>1308</v>
      </c>
      <c r="K213" s="0" t="s">
        <v>3885</v>
      </c>
      <c r="L213" s="0" t="s">
        <v>1318</v>
      </c>
      <c r="M213" s="0" t="s">
        <v>1319</v>
      </c>
      <c r="N213" s="0" t="s">
        <v>105</v>
      </c>
      <c r="O213" s="0" t="s">
        <v>110</v>
      </c>
      <c r="P213" s="0" t="s">
        <v>111</v>
      </c>
      <c r="Q213" s="0" t="s">
        <v>112</v>
      </c>
      <c r="R213" s="0" t="s">
        <v>1308</v>
      </c>
      <c r="S213" s="0" t="s">
        <v>3885</v>
      </c>
      <c r="T213" s="0" t="s">
        <v>3819</v>
      </c>
      <c r="U213" s="0" t="s">
        <v>3820</v>
      </c>
      <c r="V213" s="0" t="s">
        <v>713</v>
      </c>
      <c r="W213" s="0" t="s">
        <v>3807</v>
      </c>
      <c r="X213" s="0" t="s">
        <v>3821</v>
      </c>
      <c r="Y213" s="0" t="s">
        <v>3820</v>
      </c>
      <c r="Z213" s="0" t="s">
        <v>3882</v>
      </c>
      <c r="AA213" s="0" t="s">
        <v>3883</v>
      </c>
      <c r="AB213" s="0" t="s">
        <v>3840</v>
      </c>
      <c r="AC213" s="0" t="s">
        <v>64</v>
      </c>
      <c r="AD213" s="0" t="s">
        <v>19</v>
      </c>
      <c r="AE213" s="0" t="s">
        <v>64</v>
      </c>
      <c r="AF213" s="0" t="s">
        <v>155</v>
      </c>
      <c r="AG213" s="0" t="s">
        <v>514</v>
      </c>
      <c r="AH213" s="0" t="s">
        <v>22</v>
      </c>
      <c r="AI213" s="0" t="s">
        <v>22</v>
      </c>
      <c r="AJ213" s="0" t="s">
        <v>155</v>
      </c>
      <c r="AK213" s="0" t="s">
        <v>514</v>
      </c>
    </row>
    <row customHeight="1" ht="11.25">
      <c r="A214" s="0" t="s">
        <v>22</v>
      </c>
      <c r="B214" s="0" t="s">
        <v>48</v>
      </c>
      <c r="C214" s="0" t="s">
        <v>50</v>
      </c>
      <c r="D214" s="0" t="s">
        <v>22</v>
      </c>
      <c r="E214" s="0" t="s">
        <v>4269</v>
      </c>
      <c r="F214" s="0" t="s">
        <v>1305</v>
      </c>
      <c r="G214" s="0" t="s">
        <v>136</v>
      </c>
      <c r="H214" s="0" t="s">
        <v>136</v>
      </c>
      <c r="I214" s="0" t="s">
        <v>137</v>
      </c>
      <c r="J214" s="0" t="s">
        <v>4270</v>
      </c>
      <c r="K214" s="0" t="s">
        <v>4271</v>
      </c>
      <c r="L214" s="0" t="s">
        <v>4117</v>
      </c>
      <c r="M214" s="0" t="s">
        <v>4272</v>
      </c>
      <c r="N214" s="0" t="s">
        <v>105</v>
      </c>
      <c r="O214" s="0" t="s">
        <v>136</v>
      </c>
      <c r="P214" s="0" t="s">
        <v>136</v>
      </c>
      <c r="Q214" s="0" t="s">
        <v>137</v>
      </c>
      <c r="R214" s="0" t="s">
        <v>4270</v>
      </c>
      <c r="S214" s="0" t="s">
        <v>4271</v>
      </c>
      <c r="T214" s="0" t="s">
        <v>3819</v>
      </c>
      <c r="U214" s="0" t="s">
        <v>3820</v>
      </c>
      <c r="V214" s="0" t="s">
        <v>713</v>
      </c>
      <c r="W214" s="0" t="s">
        <v>3807</v>
      </c>
      <c r="X214" s="0" t="s">
        <v>3821</v>
      </c>
      <c r="Y214" s="0" t="s">
        <v>3820</v>
      </c>
      <c r="Z214" s="0" t="s">
        <v>3976</v>
      </c>
      <c r="AA214" s="0" t="s">
        <v>3977</v>
      </c>
      <c r="AB214" s="0" t="s">
        <v>3978</v>
      </c>
      <c r="AC214" s="0" t="s">
        <v>64</v>
      </c>
      <c r="AD214" s="0" t="s">
        <v>19</v>
      </c>
      <c r="AE214" s="0" t="s">
        <v>64</v>
      </c>
      <c r="AF214" s="0" t="s">
        <v>1358</v>
      </c>
      <c r="AG214" s="0" t="s">
        <v>4273</v>
      </c>
      <c r="AH214" s="0" t="s">
        <v>22</v>
      </c>
      <c r="AI214" s="0" t="s">
        <v>22</v>
      </c>
      <c r="AJ214" s="0" t="s">
        <v>1358</v>
      </c>
      <c r="AK214" s="0" t="s">
        <v>4273</v>
      </c>
    </row>
    <row customHeight="1" ht="11.25">
      <c r="A215" s="0" t="s">
        <v>22</v>
      </c>
      <c r="B215" s="0" t="s">
        <v>48</v>
      </c>
      <c r="C215" s="0" t="s">
        <v>50</v>
      </c>
      <c r="D215" s="0" t="s">
        <v>22</v>
      </c>
      <c r="E215" s="0" t="s">
        <v>4269</v>
      </c>
      <c r="F215" s="0" t="s">
        <v>1305</v>
      </c>
      <c r="G215" s="0" t="s">
        <v>139</v>
      </c>
      <c r="H215" s="0" t="s">
        <v>146</v>
      </c>
      <c r="I215" s="0" t="s">
        <v>147</v>
      </c>
      <c r="J215" s="0" t="s">
        <v>4270</v>
      </c>
      <c r="K215" s="0" t="s">
        <v>4274</v>
      </c>
      <c r="L215" s="0" t="s">
        <v>4117</v>
      </c>
      <c r="M215" s="0" t="s">
        <v>4272</v>
      </c>
      <c r="N215" s="0" t="s">
        <v>105</v>
      </c>
      <c r="O215" s="0" t="s">
        <v>139</v>
      </c>
      <c r="P215" s="0" t="s">
        <v>146</v>
      </c>
      <c r="Q215" s="0" t="s">
        <v>147</v>
      </c>
      <c r="R215" s="0" t="s">
        <v>4270</v>
      </c>
      <c r="S215" s="0" t="s">
        <v>4274</v>
      </c>
      <c r="T215" s="0" t="s">
        <v>3819</v>
      </c>
      <c r="U215" s="0" t="s">
        <v>3820</v>
      </c>
      <c r="V215" s="0" t="s">
        <v>713</v>
      </c>
      <c r="W215" s="0" t="s">
        <v>3807</v>
      </c>
      <c r="X215" s="0" t="s">
        <v>3821</v>
      </c>
      <c r="Y215" s="0" t="s">
        <v>3820</v>
      </c>
      <c r="Z215" s="0" t="s">
        <v>3976</v>
      </c>
      <c r="AA215" s="0" t="s">
        <v>3977</v>
      </c>
      <c r="AB215" s="0" t="s">
        <v>3978</v>
      </c>
      <c r="AC215" s="0" t="s">
        <v>64</v>
      </c>
      <c r="AD215" s="0" t="s">
        <v>19</v>
      </c>
      <c r="AE215" s="0" t="s">
        <v>64</v>
      </c>
      <c r="AF215" s="0" t="s">
        <v>1358</v>
      </c>
      <c r="AG215" s="0" t="s">
        <v>4273</v>
      </c>
      <c r="AH215" s="0" t="s">
        <v>22</v>
      </c>
      <c r="AI215" s="0" t="s">
        <v>22</v>
      </c>
      <c r="AJ215" s="0" t="s">
        <v>1358</v>
      </c>
      <c r="AK215" s="0" t="s">
        <v>4273</v>
      </c>
    </row>
    <row customHeight="1" ht="11.25">
      <c r="A216" s="0" t="s">
        <v>22</v>
      </c>
      <c r="B216" s="0" t="s">
        <v>48</v>
      </c>
      <c r="C216" s="0" t="s">
        <v>50</v>
      </c>
      <c r="D216" s="0" t="s">
        <v>22</v>
      </c>
      <c r="E216" s="0" t="s">
        <v>4275</v>
      </c>
      <c r="F216" s="0" t="s">
        <v>1305</v>
      </c>
      <c r="G216" s="0" t="s">
        <v>1306</v>
      </c>
      <c r="H216" s="0" t="s">
        <v>1306</v>
      </c>
      <c r="I216" s="0" t="s">
        <v>1307</v>
      </c>
      <c r="J216" s="0" t="s">
        <v>4276</v>
      </c>
      <c r="K216" s="0" t="s">
        <v>4277</v>
      </c>
      <c r="L216" s="0" t="s">
        <v>4278</v>
      </c>
      <c r="M216" s="0" t="s">
        <v>3818</v>
      </c>
      <c r="N216" s="0" t="s">
        <v>105</v>
      </c>
      <c r="O216" s="0" t="s">
        <v>1306</v>
      </c>
      <c r="P216" s="0" t="s">
        <v>1306</v>
      </c>
      <c r="Q216" s="0" t="s">
        <v>1307</v>
      </c>
      <c r="R216" s="0" t="s">
        <v>4276</v>
      </c>
      <c r="S216" s="0" t="s">
        <v>4277</v>
      </c>
      <c r="T216" s="0" t="s">
        <v>3819</v>
      </c>
      <c r="U216" s="0" t="s">
        <v>3820</v>
      </c>
      <c r="V216" s="0" t="s">
        <v>713</v>
      </c>
      <c r="W216" s="0" t="s">
        <v>3807</v>
      </c>
      <c r="X216" s="0" t="s">
        <v>3821</v>
      </c>
      <c r="Y216" s="0" t="s">
        <v>3820</v>
      </c>
      <c r="Z216" s="0" t="s">
        <v>4279</v>
      </c>
      <c r="AA216" s="0" t="s">
        <v>4280</v>
      </c>
      <c r="AB216" s="0" t="s">
        <v>3840</v>
      </c>
      <c r="AC216" s="0" t="s">
        <v>64</v>
      </c>
      <c r="AD216" s="0" t="s">
        <v>19</v>
      </c>
      <c r="AE216" s="0" t="s">
        <v>64</v>
      </c>
      <c r="AF216" s="0" t="s">
        <v>3923</v>
      </c>
      <c r="AG216" s="0" t="s">
        <v>448</v>
      </c>
      <c r="AH216" s="0" t="s">
        <v>22</v>
      </c>
      <c r="AI216" s="0" t="s">
        <v>22</v>
      </c>
      <c r="AJ216" s="0" t="s">
        <v>3923</v>
      </c>
      <c r="AK216" s="0" t="s">
        <v>448</v>
      </c>
    </row>
    <row customHeight="1" ht="11.25">
      <c r="A217" s="0" t="s">
        <v>22</v>
      </c>
      <c r="B217" s="0" t="s">
        <v>48</v>
      </c>
      <c r="C217" s="0" t="s">
        <v>50</v>
      </c>
      <c r="D217" s="0" t="s">
        <v>22</v>
      </c>
      <c r="E217" s="0" t="s">
        <v>4275</v>
      </c>
      <c r="F217" s="0" t="s">
        <v>1305</v>
      </c>
      <c r="G217" s="0" t="s">
        <v>110</v>
      </c>
      <c r="H217" s="0" t="s">
        <v>114</v>
      </c>
      <c r="I217" s="0" t="s">
        <v>115</v>
      </c>
      <c r="J217" s="0" t="s">
        <v>4276</v>
      </c>
      <c r="K217" s="0" t="s">
        <v>4281</v>
      </c>
      <c r="L217" s="0" t="s">
        <v>4278</v>
      </c>
      <c r="M217" s="0" t="s">
        <v>3818</v>
      </c>
      <c r="N217" s="0" t="s">
        <v>105</v>
      </c>
      <c r="O217" s="0" t="s">
        <v>110</v>
      </c>
      <c r="P217" s="0" t="s">
        <v>114</v>
      </c>
      <c r="Q217" s="0" t="s">
        <v>115</v>
      </c>
      <c r="R217" s="0" t="s">
        <v>4276</v>
      </c>
      <c r="S217" s="0" t="s">
        <v>4281</v>
      </c>
      <c r="T217" s="0" t="s">
        <v>3819</v>
      </c>
      <c r="U217" s="0" t="s">
        <v>3820</v>
      </c>
      <c r="V217" s="0" t="s">
        <v>713</v>
      </c>
      <c r="W217" s="0" t="s">
        <v>3807</v>
      </c>
      <c r="X217" s="0" t="s">
        <v>3821</v>
      </c>
      <c r="Y217" s="0" t="s">
        <v>3820</v>
      </c>
      <c r="Z217" s="0" t="s">
        <v>4279</v>
      </c>
      <c r="AA217" s="0" t="s">
        <v>4280</v>
      </c>
      <c r="AB217" s="0" t="s">
        <v>3840</v>
      </c>
      <c r="AC217" s="0" t="s">
        <v>64</v>
      </c>
      <c r="AD217" s="0" t="s">
        <v>19</v>
      </c>
      <c r="AE217" s="0" t="s">
        <v>64</v>
      </c>
      <c r="AF217" s="0" t="s">
        <v>3923</v>
      </c>
      <c r="AG217" s="0" t="s">
        <v>448</v>
      </c>
      <c r="AH217" s="0" t="s">
        <v>22</v>
      </c>
      <c r="AI217" s="0" t="s">
        <v>22</v>
      </c>
      <c r="AJ217" s="0" t="s">
        <v>3923</v>
      </c>
      <c r="AK217" s="0" t="s">
        <v>448</v>
      </c>
    </row>
    <row customHeight="1" ht="11.25">
      <c r="A218" s="0" t="s">
        <v>22</v>
      </c>
      <c r="B218" s="0" t="s">
        <v>48</v>
      </c>
      <c r="C218" s="0" t="s">
        <v>50</v>
      </c>
      <c r="D218" s="0" t="s">
        <v>22</v>
      </c>
      <c r="E218" s="0" t="s">
        <v>4282</v>
      </c>
      <c r="F218" s="0" t="s">
        <v>3926</v>
      </c>
      <c r="G218" s="0" t="s">
        <v>163</v>
      </c>
      <c r="H218" s="0" t="s">
        <v>163</v>
      </c>
      <c r="I218" s="0" t="s">
        <v>164</v>
      </c>
      <c r="J218" s="0" t="s">
        <v>3989</v>
      </c>
      <c r="K218" s="0" t="s">
        <v>3990</v>
      </c>
      <c r="L218" s="0" t="s">
        <v>4283</v>
      </c>
      <c r="M218" s="0" t="s">
        <v>3965</v>
      </c>
      <c r="N218" s="0" t="s">
        <v>105</v>
      </c>
      <c r="O218" s="0" t="s">
        <v>163</v>
      </c>
      <c r="P218" s="0" t="s">
        <v>163</v>
      </c>
      <c r="Q218" s="0" t="s">
        <v>164</v>
      </c>
      <c r="R218" s="0" t="s">
        <v>3989</v>
      </c>
      <c r="S218" s="0" t="s">
        <v>3990</v>
      </c>
      <c r="T218" s="0" t="s">
        <v>4026</v>
      </c>
      <c r="U218" s="0" t="s">
        <v>3939</v>
      </c>
      <c r="V218" s="0" t="s">
        <v>4027</v>
      </c>
      <c r="W218" s="0" t="s">
        <v>3807</v>
      </c>
      <c r="X218" s="0" t="s">
        <v>3821</v>
      </c>
      <c r="Y218" s="0" t="s">
        <v>3820</v>
      </c>
      <c r="Z218" s="0" t="s">
        <v>4028</v>
      </c>
      <c r="AA218" s="0" t="s">
        <v>4029</v>
      </c>
      <c r="AB218" s="0" t="s">
        <v>4027</v>
      </c>
      <c r="AC218" s="0" t="s">
        <v>19</v>
      </c>
      <c r="AD218" s="0" t="s">
        <v>19</v>
      </c>
      <c r="AE218" s="0" t="s">
        <v>64</v>
      </c>
      <c r="AF218" s="0" t="s">
        <v>22</v>
      </c>
      <c r="AG218" s="0" t="s">
        <v>22</v>
      </c>
      <c r="AH218" s="0" t="s">
        <v>22</v>
      </c>
      <c r="AI218" s="0" t="s">
        <v>22</v>
      </c>
      <c r="AJ218" s="0" t="s">
        <v>4030</v>
      </c>
      <c r="AK218" s="0" t="s">
        <v>4284</v>
      </c>
    </row>
    <row customHeight="1" ht="11.25">
      <c r="A219" s="0" t="s">
        <v>22</v>
      </c>
      <c r="B219" s="0" t="s">
        <v>48</v>
      </c>
      <c r="C219" s="0" t="s">
        <v>50</v>
      </c>
      <c r="D219" s="0" t="s">
        <v>22</v>
      </c>
      <c r="E219" s="0" t="s">
        <v>4282</v>
      </c>
      <c r="F219" s="0" t="s">
        <v>3926</v>
      </c>
      <c r="G219" s="0" t="s">
        <v>163</v>
      </c>
      <c r="H219" s="0" t="s">
        <v>163</v>
      </c>
      <c r="I219" s="0" t="s">
        <v>164</v>
      </c>
      <c r="J219" s="0" t="s">
        <v>3989</v>
      </c>
      <c r="K219" s="0" t="s">
        <v>3990</v>
      </c>
      <c r="L219" s="0" t="s">
        <v>4283</v>
      </c>
      <c r="M219" s="0" t="s">
        <v>3965</v>
      </c>
      <c r="N219" s="0" t="s">
        <v>105</v>
      </c>
      <c r="O219" s="0" t="s">
        <v>163</v>
      </c>
      <c r="P219" s="0" t="s">
        <v>163</v>
      </c>
      <c r="Q219" s="0" t="s">
        <v>164</v>
      </c>
      <c r="R219" s="0" t="s">
        <v>3989</v>
      </c>
      <c r="S219" s="0" t="s">
        <v>3990</v>
      </c>
      <c r="T219" s="0" t="s">
        <v>4026</v>
      </c>
      <c r="U219" s="0" t="s">
        <v>3939</v>
      </c>
      <c r="V219" s="0" t="s">
        <v>4027</v>
      </c>
      <c r="W219" s="0" t="s">
        <v>3807</v>
      </c>
      <c r="X219" s="0" t="s">
        <v>3821</v>
      </c>
      <c r="Y219" s="0" t="s">
        <v>3820</v>
      </c>
      <c r="Z219" s="0" t="s">
        <v>4028</v>
      </c>
      <c r="AA219" s="0" t="s">
        <v>4029</v>
      </c>
      <c r="AB219" s="0" t="s">
        <v>4027</v>
      </c>
      <c r="AC219" s="0" t="s">
        <v>19</v>
      </c>
      <c r="AD219" s="0" t="s">
        <v>19</v>
      </c>
      <c r="AE219" s="0" t="s">
        <v>64</v>
      </c>
      <c r="AF219" s="0" t="s">
        <v>22</v>
      </c>
      <c r="AG219" s="0" t="s">
        <v>22</v>
      </c>
      <c r="AH219" s="0" t="s">
        <v>22</v>
      </c>
      <c r="AI219" s="0" t="s">
        <v>22</v>
      </c>
      <c r="AJ219" s="0" t="s">
        <v>4030</v>
      </c>
      <c r="AK219" s="0" t="s">
        <v>4284</v>
      </c>
    </row>
    <row customHeight="1" ht="11.25">
      <c r="A220" s="0" t="s">
        <v>22</v>
      </c>
      <c r="B220" s="0" t="s">
        <v>48</v>
      </c>
      <c r="C220" s="0" t="s">
        <v>50</v>
      </c>
      <c r="D220" s="0" t="s">
        <v>22</v>
      </c>
      <c r="E220" s="0" t="s">
        <v>4285</v>
      </c>
      <c r="F220" s="0" t="s">
        <v>3926</v>
      </c>
      <c r="G220" s="0" t="s">
        <v>163</v>
      </c>
      <c r="H220" s="0" t="s">
        <v>163</v>
      </c>
      <c r="I220" s="0" t="s">
        <v>164</v>
      </c>
      <c r="J220" s="0" t="s">
        <v>3989</v>
      </c>
      <c r="K220" s="0" t="s">
        <v>3990</v>
      </c>
      <c r="L220" s="0" t="s">
        <v>4286</v>
      </c>
      <c r="M220" s="0" t="s">
        <v>3965</v>
      </c>
      <c r="N220" s="0" t="s">
        <v>105</v>
      </c>
      <c r="O220" s="0" t="s">
        <v>163</v>
      </c>
      <c r="P220" s="0" t="s">
        <v>163</v>
      </c>
      <c r="Q220" s="0" t="s">
        <v>164</v>
      </c>
      <c r="R220" s="0" t="s">
        <v>3989</v>
      </c>
      <c r="S220" s="0" t="s">
        <v>3990</v>
      </c>
      <c r="T220" s="0" t="s">
        <v>4026</v>
      </c>
      <c r="U220" s="0" t="s">
        <v>3939</v>
      </c>
      <c r="V220" s="0" t="s">
        <v>4027</v>
      </c>
      <c r="W220" s="0" t="s">
        <v>3807</v>
      </c>
      <c r="X220" s="0" t="s">
        <v>3821</v>
      </c>
      <c r="Y220" s="0" t="s">
        <v>3820</v>
      </c>
      <c r="Z220" s="0" t="s">
        <v>4028</v>
      </c>
      <c r="AA220" s="0" t="s">
        <v>4029</v>
      </c>
      <c r="AB220" s="0" t="s">
        <v>4027</v>
      </c>
      <c r="AC220" s="0" t="s">
        <v>19</v>
      </c>
      <c r="AD220" s="0" t="s">
        <v>19</v>
      </c>
      <c r="AE220" s="0" t="s">
        <v>64</v>
      </c>
      <c r="AF220" s="0" t="s">
        <v>22</v>
      </c>
      <c r="AG220" s="0" t="s">
        <v>22</v>
      </c>
      <c r="AH220" s="0" t="s">
        <v>22</v>
      </c>
      <c r="AI220" s="0" t="s">
        <v>22</v>
      </c>
      <c r="AJ220" s="0" t="s">
        <v>4030</v>
      </c>
      <c r="AK220" s="0" t="s">
        <v>4031</v>
      </c>
    </row>
    <row customHeight="1" ht="11.25">
      <c r="A221" s="0" t="s">
        <v>22</v>
      </c>
      <c r="B221" s="0" t="s">
        <v>48</v>
      </c>
      <c r="C221" s="0" t="s">
        <v>50</v>
      </c>
      <c r="D221" s="0" t="s">
        <v>22</v>
      </c>
      <c r="E221" s="0" t="s">
        <v>4285</v>
      </c>
      <c r="F221" s="0" t="s">
        <v>3926</v>
      </c>
      <c r="G221" s="0" t="s">
        <v>163</v>
      </c>
      <c r="H221" s="0" t="s">
        <v>163</v>
      </c>
      <c r="I221" s="0" t="s">
        <v>164</v>
      </c>
      <c r="J221" s="0" t="s">
        <v>3989</v>
      </c>
      <c r="K221" s="0" t="s">
        <v>3990</v>
      </c>
      <c r="L221" s="0" t="s">
        <v>4286</v>
      </c>
      <c r="M221" s="0" t="s">
        <v>3965</v>
      </c>
      <c r="N221" s="0" t="s">
        <v>105</v>
      </c>
      <c r="O221" s="0" t="s">
        <v>163</v>
      </c>
      <c r="P221" s="0" t="s">
        <v>163</v>
      </c>
      <c r="Q221" s="0" t="s">
        <v>164</v>
      </c>
      <c r="R221" s="0" t="s">
        <v>3989</v>
      </c>
      <c r="S221" s="0" t="s">
        <v>3990</v>
      </c>
      <c r="T221" s="0" t="s">
        <v>4026</v>
      </c>
      <c r="U221" s="0" t="s">
        <v>3939</v>
      </c>
      <c r="V221" s="0" t="s">
        <v>4027</v>
      </c>
      <c r="W221" s="0" t="s">
        <v>3807</v>
      </c>
      <c r="X221" s="0" t="s">
        <v>3821</v>
      </c>
      <c r="Y221" s="0" t="s">
        <v>3820</v>
      </c>
      <c r="Z221" s="0" t="s">
        <v>4028</v>
      </c>
      <c r="AA221" s="0" t="s">
        <v>4029</v>
      </c>
      <c r="AB221" s="0" t="s">
        <v>4027</v>
      </c>
      <c r="AC221" s="0" t="s">
        <v>19</v>
      </c>
      <c r="AD221" s="0" t="s">
        <v>19</v>
      </c>
      <c r="AE221" s="0" t="s">
        <v>64</v>
      </c>
      <c r="AF221" s="0" t="s">
        <v>22</v>
      </c>
      <c r="AG221" s="0" t="s">
        <v>22</v>
      </c>
      <c r="AH221" s="0" t="s">
        <v>22</v>
      </c>
      <c r="AI221" s="0" t="s">
        <v>22</v>
      </c>
      <c r="AJ221" s="0" t="s">
        <v>4030</v>
      </c>
      <c r="AK221" s="0" t="s">
        <v>4031</v>
      </c>
    </row>
    <row customHeight="1" ht="11.25">
      <c r="A222" s="0" t="s">
        <v>22</v>
      </c>
      <c r="B222" s="0" t="s">
        <v>48</v>
      </c>
      <c r="C222" s="0" t="s">
        <v>50</v>
      </c>
      <c r="D222" s="0" t="s">
        <v>22</v>
      </c>
      <c r="E222" s="0" t="s">
        <v>4287</v>
      </c>
      <c r="F222" s="0" t="s">
        <v>4023</v>
      </c>
      <c r="G222" s="0" t="s">
        <v>163</v>
      </c>
      <c r="H222" s="0" t="s">
        <v>163</v>
      </c>
      <c r="I222" s="0" t="s">
        <v>164</v>
      </c>
      <c r="J222" s="0" t="s">
        <v>3989</v>
      </c>
      <c r="K222" s="0" t="s">
        <v>3990</v>
      </c>
      <c r="L222" s="0" t="s">
        <v>4288</v>
      </c>
      <c r="M222" s="0" t="s">
        <v>3965</v>
      </c>
      <c r="N222" s="0" t="s">
        <v>105</v>
      </c>
      <c r="O222" s="0" t="s">
        <v>163</v>
      </c>
      <c r="P222" s="0" t="s">
        <v>163</v>
      </c>
      <c r="Q222" s="0" t="s">
        <v>164</v>
      </c>
      <c r="R222" s="0" t="s">
        <v>3989</v>
      </c>
      <c r="S222" s="0" t="s">
        <v>3990</v>
      </c>
      <c r="T222" s="0" t="s">
        <v>4026</v>
      </c>
      <c r="U222" s="0" t="s">
        <v>3939</v>
      </c>
      <c r="V222" s="0" t="s">
        <v>4027</v>
      </c>
      <c r="W222" s="0" t="s">
        <v>3807</v>
      </c>
      <c r="X222" s="0" t="s">
        <v>3821</v>
      </c>
      <c r="Y222" s="0" t="s">
        <v>3820</v>
      </c>
      <c r="Z222" s="0" t="s">
        <v>4028</v>
      </c>
      <c r="AA222" s="0" t="s">
        <v>4029</v>
      </c>
      <c r="AB222" s="0" t="s">
        <v>4027</v>
      </c>
      <c r="AC222" s="0" t="s">
        <v>19</v>
      </c>
      <c r="AD222" s="0" t="s">
        <v>64</v>
      </c>
      <c r="AE222" s="0" t="s">
        <v>19</v>
      </c>
      <c r="AF222" s="0" t="s">
        <v>22</v>
      </c>
      <c r="AG222" s="0" t="s">
        <v>22</v>
      </c>
      <c r="AH222" s="0" t="s">
        <v>4030</v>
      </c>
      <c r="AI222" s="0" t="s">
        <v>4284</v>
      </c>
      <c r="AJ222" s="0" t="s">
        <v>22</v>
      </c>
      <c r="AK222" s="0" t="s">
        <v>22</v>
      </c>
    </row>
    <row customHeight="1" ht="11.25">
      <c r="A223" s="0" t="s">
        <v>22</v>
      </c>
      <c r="B223" s="0" t="s">
        <v>48</v>
      </c>
      <c r="C223" s="0" t="s">
        <v>50</v>
      </c>
      <c r="D223" s="0" t="s">
        <v>22</v>
      </c>
      <c r="E223" s="0" t="s">
        <v>4287</v>
      </c>
      <c r="F223" s="0" t="s">
        <v>4023</v>
      </c>
      <c r="G223" s="0" t="s">
        <v>163</v>
      </c>
      <c r="H223" s="0" t="s">
        <v>163</v>
      </c>
      <c r="I223" s="0" t="s">
        <v>164</v>
      </c>
      <c r="J223" s="0" t="s">
        <v>3989</v>
      </c>
      <c r="K223" s="0" t="s">
        <v>3990</v>
      </c>
      <c r="L223" s="0" t="s">
        <v>4288</v>
      </c>
      <c r="M223" s="0" t="s">
        <v>3965</v>
      </c>
      <c r="N223" s="0" t="s">
        <v>105</v>
      </c>
      <c r="O223" s="0" t="s">
        <v>163</v>
      </c>
      <c r="P223" s="0" t="s">
        <v>163</v>
      </c>
      <c r="Q223" s="0" t="s">
        <v>164</v>
      </c>
      <c r="R223" s="0" t="s">
        <v>3989</v>
      </c>
      <c r="S223" s="0" t="s">
        <v>3990</v>
      </c>
      <c r="T223" s="0" t="s">
        <v>4026</v>
      </c>
      <c r="U223" s="0" t="s">
        <v>3939</v>
      </c>
      <c r="V223" s="0" t="s">
        <v>4027</v>
      </c>
      <c r="W223" s="0" t="s">
        <v>3807</v>
      </c>
      <c r="X223" s="0" t="s">
        <v>3821</v>
      </c>
      <c r="Y223" s="0" t="s">
        <v>3820</v>
      </c>
      <c r="Z223" s="0" t="s">
        <v>4028</v>
      </c>
      <c r="AA223" s="0" t="s">
        <v>4029</v>
      </c>
      <c r="AB223" s="0" t="s">
        <v>4027</v>
      </c>
      <c r="AC223" s="0" t="s">
        <v>19</v>
      </c>
      <c r="AD223" s="0" t="s">
        <v>64</v>
      </c>
      <c r="AE223" s="0" t="s">
        <v>19</v>
      </c>
      <c r="AF223" s="0" t="s">
        <v>22</v>
      </c>
      <c r="AG223" s="0" t="s">
        <v>22</v>
      </c>
      <c r="AH223" s="0" t="s">
        <v>4030</v>
      </c>
      <c r="AI223" s="0" t="s">
        <v>4284</v>
      </c>
      <c r="AJ223" s="0" t="s">
        <v>22</v>
      </c>
      <c r="AK223" s="0" t="s">
        <v>22</v>
      </c>
    </row>
    <row customHeight="1" ht="11.25">
      <c r="A224" s="0" t="s">
        <v>22</v>
      </c>
      <c r="B224" s="0" t="s">
        <v>48</v>
      </c>
      <c r="C224" s="0" t="s">
        <v>50</v>
      </c>
      <c r="D224" s="0" t="s">
        <v>22</v>
      </c>
      <c r="E224" s="0" t="s">
        <v>4289</v>
      </c>
      <c r="F224" s="0" t="s">
        <v>3815</v>
      </c>
      <c r="G224" s="0" t="s">
        <v>163</v>
      </c>
      <c r="H224" s="0" t="s">
        <v>163</v>
      </c>
      <c r="I224" s="0" t="s">
        <v>164</v>
      </c>
      <c r="J224" s="0" t="s">
        <v>3989</v>
      </c>
      <c r="K224" s="0" t="s">
        <v>3990</v>
      </c>
      <c r="L224" s="0" t="s">
        <v>4290</v>
      </c>
      <c r="M224" s="0" t="s">
        <v>4291</v>
      </c>
      <c r="N224" s="0" t="s">
        <v>105</v>
      </c>
      <c r="O224" s="0" t="s">
        <v>163</v>
      </c>
      <c r="P224" s="0" t="s">
        <v>163</v>
      </c>
      <c r="Q224" s="0" t="s">
        <v>164</v>
      </c>
      <c r="R224" s="0" t="s">
        <v>3989</v>
      </c>
      <c r="S224" s="0" t="s">
        <v>3990</v>
      </c>
      <c r="T224" s="0" t="s">
        <v>4026</v>
      </c>
      <c r="U224" s="0" t="s">
        <v>3939</v>
      </c>
      <c r="V224" s="0" t="s">
        <v>4027</v>
      </c>
      <c r="W224" s="0" t="s">
        <v>3807</v>
      </c>
      <c r="X224" s="0" t="s">
        <v>3821</v>
      </c>
      <c r="Y224" s="0" t="s">
        <v>3820</v>
      </c>
      <c r="Z224" s="0" t="s">
        <v>4028</v>
      </c>
      <c r="AA224" s="0" t="s">
        <v>4029</v>
      </c>
      <c r="AB224" s="0" t="s">
        <v>4027</v>
      </c>
      <c r="AC224" s="0" t="s">
        <v>64</v>
      </c>
      <c r="AD224" s="0" t="s">
        <v>19</v>
      </c>
      <c r="AE224" s="0" t="s">
        <v>19</v>
      </c>
      <c r="AF224" s="0" t="s">
        <v>4292</v>
      </c>
      <c r="AG224" s="0" t="s">
        <v>1926</v>
      </c>
      <c r="AH224" s="0" t="s">
        <v>22</v>
      </c>
      <c r="AI224" s="0" t="s">
        <v>22</v>
      </c>
      <c r="AJ224" s="0" t="s">
        <v>22</v>
      </c>
      <c r="AK224" s="0" t="s">
        <v>22</v>
      </c>
    </row>
    <row customHeight="1" ht="11.25">
      <c r="A225" s="0" t="s">
        <v>22</v>
      </c>
      <c r="B225" s="0" t="s">
        <v>48</v>
      </c>
      <c r="C225" s="0" t="s">
        <v>50</v>
      </c>
      <c r="D225" s="0" t="s">
        <v>22</v>
      </c>
      <c r="E225" s="0" t="s">
        <v>4289</v>
      </c>
      <c r="F225" s="0" t="s">
        <v>3815</v>
      </c>
      <c r="G225" s="0" t="s">
        <v>163</v>
      </c>
      <c r="H225" s="0" t="s">
        <v>163</v>
      </c>
      <c r="I225" s="0" t="s">
        <v>164</v>
      </c>
      <c r="J225" s="0" t="s">
        <v>3989</v>
      </c>
      <c r="K225" s="0" t="s">
        <v>3990</v>
      </c>
      <c r="L225" s="0" t="s">
        <v>4290</v>
      </c>
      <c r="M225" s="0" t="s">
        <v>4291</v>
      </c>
      <c r="N225" s="0" t="s">
        <v>105</v>
      </c>
      <c r="O225" s="0" t="s">
        <v>163</v>
      </c>
      <c r="P225" s="0" t="s">
        <v>163</v>
      </c>
      <c r="Q225" s="0" t="s">
        <v>164</v>
      </c>
      <c r="R225" s="0" t="s">
        <v>3989</v>
      </c>
      <c r="S225" s="0" t="s">
        <v>3990</v>
      </c>
      <c r="T225" s="0" t="s">
        <v>4026</v>
      </c>
      <c r="U225" s="0" t="s">
        <v>3939</v>
      </c>
      <c r="V225" s="0" t="s">
        <v>4027</v>
      </c>
      <c r="W225" s="0" t="s">
        <v>3807</v>
      </c>
      <c r="X225" s="0" t="s">
        <v>3821</v>
      </c>
      <c r="Y225" s="0" t="s">
        <v>3820</v>
      </c>
      <c r="Z225" s="0" t="s">
        <v>4028</v>
      </c>
      <c r="AA225" s="0" t="s">
        <v>4029</v>
      </c>
      <c r="AB225" s="0" t="s">
        <v>4027</v>
      </c>
      <c r="AC225" s="0" t="s">
        <v>64</v>
      </c>
      <c r="AD225" s="0" t="s">
        <v>19</v>
      </c>
      <c r="AE225" s="0" t="s">
        <v>19</v>
      </c>
      <c r="AF225" s="0" t="s">
        <v>4292</v>
      </c>
      <c r="AG225" s="0" t="s">
        <v>1926</v>
      </c>
      <c r="AH225" s="0" t="s">
        <v>22</v>
      </c>
      <c r="AI225" s="0" t="s">
        <v>22</v>
      </c>
      <c r="AJ225" s="0" t="s">
        <v>22</v>
      </c>
      <c r="AK225" s="0" t="s">
        <v>22</v>
      </c>
    </row>
    <row customHeight="1" ht="11.25">
      <c r="A226" s="0" t="s">
        <v>22</v>
      </c>
      <c r="B226" s="0" t="s">
        <v>48</v>
      </c>
      <c r="C226" s="0" t="s">
        <v>50</v>
      </c>
      <c r="D226" s="0" t="s">
        <v>22</v>
      </c>
      <c r="E226" s="0" t="s">
        <v>4293</v>
      </c>
      <c r="F226" s="0" t="s">
        <v>3926</v>
      </c>
      <c r="G226" s="0" t="s">
        <v>99</v>
      </c>
      <c r="H226" s="0" t="s">
        <v>99</v>
      </c>
      <c r="I226" s="0" t="s">
        <v>100</v>
      </c>
      <c r="J226" s="0" t="s">
        <v>4062</v>
      </c>
      <c r="K226" s="0" t="s">
        <v>4063</v>
      </c>
      <c r="L226" s="0" t="s">
        <v>954</v>
      </c>
      <c r="M226" s="0" t="s">
        <v>954</v>
      </c>
      <c r="N226" s="0" t="s">
        <v>105</v>
      </c>
      <c r="O226" s="0" t="s">
        <v>99</v>
      </c>
      <c r="P226" s="0" t="s">
        <v>99</v>
      </c>
      <c r="Q226" s="0" t="s">
        <v>100</v>
      </c>
      <c r="R226" s="0" t="s">
        <v>4062</v>
      </c>
      <c r="S226" s="0" t="s">
        <v>4063</v>
      </c>
      <c r="T226" s="0" t="s">
        <v>3938</v>
      </c>
      <c r="U226" s="0" t="s">
        <v>3939</v>
      </c>
      <c r="V226" s="0" t="s">
        <v>4064</v>
      </c>
      <c r="W226" s="0" t="s">
        <v>3807</v>
      </c>
      <c r="X226" s="0" t="s">
        <v>3821</v>
      </c>
      <c r="Y226" s="0" t="s">
        <v>3820</v>
      </c>
      <c r="Z226" s="0" t="s">
        <v>3999</v>
      </c>
      <c r="AA226" s="0" t="s">
        <v>3875</v>
      </c>
      <c r="AB226" s="0" t="s">
        <v>4064</v>
      </c>
      <c r="AC226" s="0" t="s">
        <v>19</v>
      </c>
      <c r="AD226" s="0" t="s">
        <v>19</v>
      </c>
      <c r="AE226" s="0" t="s">
        <v>64</v>
      </c>
      <c r="AF226" s="0" t="s">
        <v>22</v>
      </c>
      <c r="AG226" s="0" t="s">
        <v>22</v>
      </c>
      <c r="AH226" s="0" t="s">
        <v>22</v>
      </c>
      <c r="AI226" s="0" t="s">
        <v>22</v>
      </c>
      <c r="AJ226" s="0" t="s">
        <v>1869</v>
      </c>
      <c r="AK226" s="0" t="s">
        <v>4065</v>
      </c>
    </row>
    <row customHeight="1" ht="11.25">
      <c r="A227" s="0" t="s">
        <v>22</v>
      </c>
      <c r="B227" s="0" t="s">
        <v>48</v>
      </c>
      <c r="C227" s="0" t="s">
        <v>50</v>
      </c>
      <c r="D227" s="0" t="s">
        <v>22</v>
      </c>
      <c r="E227" s="0" t="s">
        <v>4293</v>
      </c>
      <c r="F227" s="0" t="s">
        <v>3926</v>
      </c>
      <c r="G227" s="0" t="s">
        <v>99</v>
      </c>
      <c r="H227" s="0" t="s">
        <v>99</v>
      </c>
      <c r="I227" s="0" t="s">
        <v>100</v>
      </c>
      <c r="J227" s="0" t="s">
        <v>4062</v>
      </c>
      <c r="K227" s="0" t="s">
        <v>4063</v>
      </c>
      <c r="L227" s="0" t="s">
        <v>954</v>
      </c>
      <c r="M227" s="0" t="s">
        <v>954</v>
      </c>
      <c r="N227" s="0" t="s">
        <v>105</v>
      </c>
      <c r="O227" s="0" t="s">
        <v>99</v>
      </c>
      <c r="P227" s="0" t="s">
        <v>99</v>
      </c>
      <c r="Q227" s="0" t="s">
        <v>100</v>
      </c>
      <c r="R227" s="0" t="s">
        <v>4062</v>
      </c>
      <c r="S227" s="0" t="s">
        <v>4063</v>
      </c>
      <c r="T227" s="0" t="s">
        <v>3938</v>
      </c>
      <c r="U227" s="0" t="s">
        <v>3939</v>
      </c>
      <c r="V227" s="0" t="s">
        <v>4064</v>
      </c>
      <c r="W227" s="0" t="s">
        <v>3807</v>
      </c>
      <c r="X227" s="0" t="s">
        <v>3821</v>
      </c>
      <c r="Y227" s="0" t="s">
        <v>3820</v>
      </c>
      <c r="Z227" s="0" t="s">
        <v>3999</v>
      </c>
      <c r="AA227" s="0" t="s">
        <v>4294</v>
      </c>
      <c r="AB227" s="0" t="s">
        <v>4064</v>
      </c>
      <c r="AC227" s="0" t="s">
        <v>19</v>
      </c>
      <c r="AD227" s="0" t="s">
        <v>19</v>
      </c>
      <c r="AE227" s="0" t="s">
        <v>64</v>
      </c>
      <c r="AF227" s="0" t="s">
        <v>22</v>
      </c>
      <c r="AG227" s="0" t="s">
        <v>22</v>
      </c>
      <c r="AH227" s="0" t="s">
        <v>22</v>
      </c>
      <c r="AI227" s="0" t="s">
        <v>22</v>
      </c>
      <c r="AJ227" s="0" t="s">
        <v>1869</v>
      </c>
      <c r="AK227" s="0" t="s">
        <v>4065</v>
      </c>
    </row>
    <row customHeight="1" ht="11.25">
      <c r="A228" s="0" t="s">
        <v>22</v>
      </c>
      <c r="B228" s="0" t="s">
        <v>48</v>
      </c>
      <c r="C228" s="0" t="s">
        <v>50</v>
      </c>
      <c r="D228" s="0" t="s">
        <v>22</v>
      </c>
      <c r="E228" s="0" t="s">
        <v>4295</v>
      </c>
      <c r="F228" s="0" t="s">
        <v>4023</v>
      </c>
      <c r="G228" s="0" t="s">
        <v>123</v>
      </c>
      <c r="H228" s="0" t="s">
        <v>124</v>
      </c>
      <c r="I228" s="0" t="s">
        <v>125</v>
      </c>
      <c r="J228" s="0" t="s">
        <v>3893</v>
      </c>
      <c r="K228" s="0" t="s">
        <v>3894</v>
      </c>
      <c r="L228" s="0" t="s">
        <v>3818</v>
      </c>
      <c r="M228" s="0" t="s">
        <v>3818</v>
      </c>
      <c r="N228" s="0" t="s">
        <v>105</v>
      </c>
      <c r="O228" s="0" t="s">
        <v>123</v>
      </c>
      <c r="P228" s="0" t="s">
        <v>124</v>
      </c>
      <c r="Q228" s="0" t="s">
        <v>125</v>
      </c>
      <c r="R228" s="0" t="s">
        <v>3893</v>
      </c>
      <c r="S228" s="0" t="s">
        <v>3894</v>
      </c>
      <c r="T228" s="0" t="s">
        <v>3805</v>
      </c>
      <c r="U228" s="0" t="s">
        <v>3806</v>
      </c>
      <c r="V228" s="0" t="s">
        <v>713</v>
      </c>
      <c r="W228" s="0" t="s">
        <v>3807</v>
      </c>
      <c r="X228" s="0" t="s">
        <v>3854</v>
      </c>
      <c r="Y228" s="0" t="s">
        <v>3806</v>
      </c>
      <c r="Z228" s="0" t="s">
        <v>4296</v>
      </c>
      <c r="AA228" s="0" t="s">
        <v>4207</v>
      </c>
      <c r="AB228" s="0" t="s">
        <v>4297</v>
      </c>
      <c r="AC228" s="0" t="s">
        <v>19</v>
      </c>
      <c r="AD228" s="0" t="s">
        <v>64</v>
      </c>
      <c r="AE228" s="0" t="s">
        <v>19</v>
      </c>
      <c r="AF228" s="0" t="s">
        <v>22</v>
      </c>
      <c r="AG228" s="0" t="s">
        <v>22</v>
      </c>
      <c r="AH228" s="0" t="s">
        <v>3895</v>
      </c>
      <c r="AI228" s="0" t="s">
        <v>514</v>
      </c>
      <c r="AJ228" s="0" t="s">
        <v>22</v>
      </c>
      <c r="AK228" s="0" t="s">
        <v>22</v>
      </c>
    </row>
    <row customHeight="1" ht="11.25">
      <c r="A229" s="0" t="s">
        <v>22</v>
      </c>
      <c r="B229" s="0" t="s">
        <v>48</v>
      </c>
      <c r="C229" s="0" t="s">
        <v>50</v>
      </c>
      <c r="D229" s="0" t="s">
        <v>22</v>
      </c>
      <c r="E229" s="0" t="s">
        <v>4295</v>
      </c>
      <c r="F229" s="0" t="s">
        <v>4023</v>
      </c>
      <c r="G229" s="0" t="s">
        <v>123</v>
      </c>
      <c r="H229" s="0" t="s">
        <v>124</v>
      </c>
      <c r="I229" s="0" t="s">
        <v>125</v>
      </c>
      <c r="J229" s="0" t="s">
        <v>3893</v>
      </c>
      <c r="K229" s="0" t="s">
        <v>3894</v>
      </c>
      <c r="L229" s="0" t="s">
        <v>3818</v>
      </c>
      <c r="M229" s="0" t="s">
        <v>3818</v>
      </c>
      <c r="N229" s="0" t="s">
        <v>105</v>
      </c>
      <c r="O229" s="0" t="s">
        <v>123</v>
      </c>
      <c r="P229" s="0" t="s">
        <v>124</v>
      </c>
      <c r="Q229" s="0" t="s">
        <v>125</v>
      </c>
      <c r="R229" s="0" t="s">
        <v>3893</v>
      </c>
      <c r="S229" s="0" t="s">
        <v>3894</v>
      </c>
      <c r="T229" s="0" t="s">
        <v>3805</v>
      </c>
      <c r="U229" s="0" t="s">
        <v>3806</v>
      </c>
      <c r="V229" s="0" t="s">
        <v>713</v>
      </c>
      <c r="W229" s="0" t="s">
        <v>3807</v>
      </c>
      <c r="X229" s="0" t="s">
        <v>3854</v>
      </c>
      <c r="Y229" s="0" t="s">
        <v>3806</v>
      </c>
      <c r="Z229" s="0" t="s">
        <v>4296</v>
      </c>
      <c r="AA229" s="0" t="s">
        <v>4207</v>
      </c>
      <c r="AB229" s="0" t="s">
        <v>4297</v>
      </c>
      <c r="AC229" s="0" t="s">
        <v>19</v>
      </c>
      <c r="AD229" s="0" t="s">
        <v>64</v>
      </c>
      <c r="AE229" s="0" t="s">
        <v>19</v>
      </c>
      <c r="AF229" s="0" t="s">
        <v>22</v>
      </c>
      <c r="AG229" s="0" t="s">
        <v>22</v>
      </c>
      <c r="AH229" s="0" t="s">
        <v>3895</v>
      </c>
      <c r="AI229" s="0" t="s">
        <v>514</v>
      </c>
      <c r="AJ229" s="0" t="s">
        <v>22</v>
      </c>
      <c r="AK229" s="0" t="s">
        <v>22</v>
      </c>
    </row>
    <row customHeight="1" ht="11.25">
      <c r="A230" s="0" t="s">
        <v>22</v>
      </c>
      <c r="B230" s="0" t="s">
        <v>48</v>
      </c>
      <c r="C230" s="0" t="s">
        <v>50</v>
      </c>
      <c r="D230" s="0" t="s">
        <v>22</v>
      </c>
      <c r="E230" s="0" t="s">
        <v>4298</v>
      </c>
      <c r="F230" s="0" t="s">
        <v>1305</v>
      </c>
      <c r="G230" s="0" t="s">
        <v>123</v>
      </c>
      <c r="H230" s="0" t="s">
        <v>3580</v>
      </c>
      <c r="I230" s="0" t="s">
        <v>3581</v>
      </c>
      <c r="J230" s="0" t="s">
        <v>3801</v>
      </c>
      <c r="K230" s="0" t="s">
        <v>3802</v>
      </c>
      <c r="L230" s="0" t="s">
        <v>3803</v>
      </c>
      <c r="M230" s="0" t="s">
        <v>3804</v>
      </c>
      <c r="N230" s="0" t="s">
        <v>105</v>
      </c>
      <c r="O230" s="0" t="s">
        <v>123</v>
      </c>
      <c r="P230" s="0" t="s">
        <v>3580</v>
      </c>
      <c r="Q230" s="0" t="s">
        <v>3581</v>
      </c>
      <c r="R230" s="0" t="s">
        <v>3801</v>
      </c>
      <c r="S230" s="0" t="s">
        <v>3802</v>
      </c>
      <c r="T230" s="0" t="s">
        <v>3805</v>
      </c>
      <c r="U230" s="0" t="s">
        <v>3806</v>
      </c>
      <c r="V230" s="0" t="s">
        <v>713</v>
      </c>
      <c r="W230" s="0" t="s">
        <v>3807</v>
      </c>
      <c r="X230" s="0" t="s">
        <v>3854</v>
      </c>
      <c r="Y230" s="0" t="s">
        <v>3806</v>
      </c>
      <c r="Z230" s="0" t="s">
        <v>4299</v>
      </c>
      <c r="AA230" s="0" t="s">
        <v>4207</v>
      </c>
      <c r="AB230" s="0" t="s">
        <v>4300</v>
      </c>
      <c r="AC230" s="0" t="s">
        <v>64</v>
      </c>
      <c r="AD230" s="0" t="s">
        <v>19</v>
      </c>
      <c r="AE230" s="0" t="s">
        <v>64</v>
      </c>
      <c r="AF230" s="0" t="s">
        <v>4301</v>
      </c>
      <c r="AG230" s="0" t="s">
        <v>3813</v>
      </c>
      <c r="AH230" s="0" t="s">
        <v>22</v>
      </c>
      <c r="AI230" s="0" t="s">
        <v>22</v>
      </c>
      <c r="AJ230" s="0" t="s">
        <v>4301</v>
      </c>
      <c r="AK230" s="0" t="s">
        <v>3813</v>
      </c>
    </row>
    <row customHeight="1" ht="11.25">
      <c r="A231" s="0" t="s">
        <v>22</v>
      </c>
      <c r="B231" s="0" t="s">
        <v>48</v>
      </c>
      <c r="C231" s="0" t="s">
        <v>50</v>
      </c>
      <c r="D231" s="0" t="s">
        <v>22</v>
      </c>
      <c r="E231" s="0" t="s">
        <v>4298</v>
      </c>
      <c r="F231" s="0" t="s">
        <v>1305</v>
      </c>
      <c r="G231" s="0" t="s">
        <v>123</v>
      </c>
      <c r="H231" s="0" t="s">
        <v>3580</v>
      </c>
      <c r="I231" s="0" t="s">
        <v>3581</v>
      </c>
      <c r="J231" s="0" t="s">
        <v>3801</v>
      </c>
      <c r="K231" s="0" t="s">
        <v>3802</v>
      </c>
      <c r="L231" s="0" t="s">
        <v>3803</v>
      </c>
      <c r="M231" s="0" t="s">
        <v>3804</v>
      </c>
      <c r="N231" s="0" t="s">
        <v>105</v>
      </c>
      <c r="O231" s="0" t="s">
        <v>123</v>
      </c>
      <c r="P231" s="0" t="s">
        <v>3580</v>
      </c>
      <c r="Q231" s="0" t="s">
        <v>3581</v>
      </c>
      <c r="R231" s="0" t="s">
        <v>3801</v>
      </c>
      <c r="S231" s="0" t="s">
        <v>3802</v>
      </c>
      <c r="T231" s="0" t="s">
        <v>3805</v>
      </c>
      <c r="U231" s="0" t="s">
        <v>3806</v>
      </c>
      <c r="V231" s="0" t="s">
        <v>713</v>
      </c>
      <c r="W231" s="0" t="s">
        <v>3807</v>
      </c>
      <c r="X231" s="0" t="s">
        <v>3854</v>
      </c>
      <c r="Y231" s="0" t="s">
        <v>3806</v>
      </c>
      <c r="Z231" s="0" t="s">
        <v>4299</v>
      </c>
      <c r="AA231" s="0" t="s">
        <v>4207</v>
      </c>
      <c r="AB231" s="0" t="s">
        <v>4300</v>
      </c>
      <c r="AC231" s="0" t="s">
        <v>64</v>
      </c>
      <c r="AD231" s="0" t="s">
        <v>19</v>
      </c>
      <c r="AE231" s="0" t="s">
        <v>64</v>
      </c>
      <c r="AF231" s="0" t="s">
        <v>4301</v>
      </c>
      <c r="AG231" s="0" t="s">
        <v>3813</v>
      </c>
      <c r="AH231" s="0" t="s">
        <v>22</v>
      </c>
      <c r="AI231" s="0" t="s">
        <v>22</v>
      </c>
      <c r="AJ231" s="0" t="s">
        <v>4301</v>
      </c>
      <c r="AK231" s="0" t="s">
        <v>3813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1898-6D88-8C22-547E-5E2E73799DB6}" mc:Ignorable="x14ac xr xr2 xr3">
  <sheetPr>
    <tabColor rgb="FFFFCC99"/>
  </sheetPr>
  <dimension ref="A1:B13"/>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274</v>
      </c>
      <c r="B1" s="187" t="s">
        <v>4302</v>
      </c>
    </row>
    <row customHeight="1" ht="11.25">
      <c r="A2" s="187" t="s">
        <v>97</v>
      </c>
      <c r="B2" s="187" t="s">
        <v>4303</v>
      </c>
    </row>
    <row customHeight="1" ht="11.25">
      <c r="A3" s="187" t="s">
        <v>104</v>
      </c>
      <c r="B3" s="187" t="s">
        <v>4304</v>
      </c>
    </row>
    <row customHeight="1" ht="11.25">
      <c r="A4" s="187" t="s">
        <v>108</v>
      </c>
      <c r="B4" s="187" t="s">
        <v>4305</v>
      </c>
    </row>
    <row customHeight="1" ht="11.25">
      <c r="A5" s="187" t="s">
        <v>116</v>
      </c>
      <c r="B5" s="187" t="s">
        <v>4306</v>
      </c>
    </row>
    <row customHeight="1" ht="11.25">
      <c r="A6" s="187" t="s">
        <v>121</v>
      </c>
      <c r="B6" s="187" t="s">
        <v>4307</v>
      </c>
    </row>
    <row customHeight="1" ht="11.25">
      <c r="A7" s="187" t="s">
        <v>126</v>
      </c>
      <c r="B7" s="187" t="s">
        <v>4308</v>
      </c>
    </row>
    <row customHeight="1" ht="11.25">
      <c r="A8" s="187" t="s">
        <v>129</v>
      </c>
      <c r="B8" s="187" t="s">
        <v>4309</v>
      </c>
    </row>
    <row customHeight="1" ht="11.25">
      <c r="A9" s="187" t="s">
        <v>134</v>
      </c>
      <c r="B9" s="187" t="s">
        <v>4310</v>
      </c>
    </row>
    <row customHeight="1" ht="11.25">
      <c r="A10" s="187" t="s">
        <v>149</v>
      </c>
      <c r="B10" s="187" t="s">
        <v>4311</v>
      </c>
    </row>
    <row customHeight="1" ht="11.25">
      <c r="A11" s="187" t="s">
        <v>156</v>
      </c>
      <c r="B11" s="187" t="s">
        <v>4312</v>
      </c>
    </row>
    <row customHeight="1" ht="11.25">
      <c r="A12" s="187" t="s">
        <v>162</v>
      </c>
      <c r="B12" s="187" t="s">
        <v>4313</v>
      </c>
    </row>
    <row customHeight="1" ht="11.25">
      <c r="A13" s="187" t="s">
        <v>166</v>
      </c>
      <c r="B13" s="187" t="s">
        <v>4314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91AF6-06C8-2244-94D3-6115109AA8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4315</v>
      </c>
      <c r="B1" s="839" t="s">
        <v>4316</v>
      </c>
    </row>
    <row customHeight="1" ht="11.25">
      <c r="A2" s="839">
        <v>4213775</v>
      </c>
      <c r="B2" s="839" t="s">
        <v>1555</v>
      </c>
    </row>
    <row customHeight="1" ht="11.25">
      <c r="A3" s="839">
        <v>4213784</v>
      </c>
      <c r="B3" s="839" t="s">
        <v>1590</v>
      </c>
    </row>
    <row customHeight="1" ht="11.25">
      <c r="A4" s="839">
        <v>4213781</v>
      </c>
      <c r="B4" s="839" t="s">
        <v>1583</v>
      </c>
    </row>
    <row customHeight="1" ht="11.25">
      <c r="A5" s="839">
        <v>4213776</v>
      </c>
      <c r="B5" s="839" t="s">
        <v>306</v>
      </c>
    </row>
    <row customHeight="1" ht="11.25">
      <c r="A6" s="839">
        <v>4213777</v>
      </c>
      <c r="B6" s="839" t="s">
        <v>312</v>
      </c>
    </row>
    <row customHeight="1" ht="11.25">
      <c r="A7" s="839">
        <v>4213778</v>
      </c>
      <c r="B7" s="839" t="s">
        <v>318</v>
      </c>
    </row>
    <row customHeight="1" ht="11.25">
      <c r="A8" s="839">
        <v>4213780</v>
      </c>
      <c r="B8" s="839" t="s">
        <v>324</v>
      </c>
    </row>
    <row customHeight="1" ht="11.25">
      <c r="A9" s="839">
        <v>4213779</v>
      </c>
      <c r="B9" s="839" t="s">
        <v>1720</v>
      </c>
    </row>
    <row customHeight="1" ht="11.25">
      <c r="A10" s="839">
        <v>4213783</v>
      </c>
      <c r="B10" s="839" t="s">
        <v>1734</v>
      </c>
    </row>
    <row customHeight="1" ht="11.25">
      <c r="A11" s="839">
        <v>4213782</v>
      </c>
      <c r="B11" s="839" t="s">
        <v>330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A4808-37DC-E547-AAE5-0483B4805E9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4315</v>
      </c>
      <c r="B1" s="839" t="s">
        <v>4317</v>
      </c>
    </row>
    <row customHeight="1" ht="11.25">
      <c r="A2" s="839" t="s">
        <v>183</v>
      </c>
      <c r="B2" s="839" t="s">
        <v>1832</v>
      </c>
    </row>
    <row customHeight="1" ht="11.25">
      <c r="A3" s="839" t="s">
        <v>251</v>
      </c>
      <c r="B3" s="839" t="s">
        <v>1842</v>
      </c>
    </row>
    <row customHeight="1" ht="11.25">
      <c r="A4" s="839" t="s">
        <v>254</v>
      </c>
      <c r="B4" s="839" t="s">
        <v>1851</v>
      </c>
    </row>
    <row customHeight="1" ht="11.25">
      <c r="A5" s="839" t="s">
        <v>4318</v>
      </c>
      <c r="B5" s="839" t="s">
        <v>1860</v>
      </c>
    </row>
    <row customHeight="1" ht="11.25">
      <c r="A6" s="839" t="s">
        <v>4319</v>
      </c>
      <c r="B6" s="839" t="s">
        <v>1866</v>
      </c>
    </row>
    <row customHeight="1" ht="11.25">
      <c r="A7" s="839" t="s">
        <v>4320</v>
      </c>
      <c r="B7" s="839" t="s">
        <v>1874</v>
      </c>
    </row>
    <row customHeight="1" ht="11.25">
      <c r="A8" s="839" t="s">
        <v>239</v>
      </c>
      <c r="B8" s="839" t="s">
        <v>1880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900CD-37BD-4578-17C8-96164DF80EB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7" t="s">
        <v>3497</v>
      </c>
      <c r="B1" s="377" t="s">
        <v>3498</v>
      </c>
      <c r="C1" s="377" t="s">
        <v>3499</v>
      </c>
      <c r="D1" s="377" t="s">
        <v>3500</v>
      </c>
      <c r="E1" s="0" t="s">
        <v>3501</v>
      </c>
      <c r="F1" s="0" t="s">
        <v>3502</v>
      </c>
      <c r="G1" s="0" t="s">
        <v>3503</v>
      </c>
    </row>
    <row customHeight="1" ht="11.25">
      <c r="A2" s="0" t="s">
        <v>16</v>
      </c>
      <c r="B2" s="0" t="s">
        <v>106</v>
      </c>
      <c r="C2" s="0" t="s">
        <v>107</v>
      </c>
      <c r="D2" s="0" t="s">
        <v>106</v>
      </c>
      <c r="E2" s="0" t="s">
        <v>107</v>
      </c>
      <c r="F2" s="0" t="s">
        <v>3504</v>
      </c>
      <c r="G2" s="0" t="s">
        <v>105</v>
      </c>
    </row>
    <row customHeight="1" ht="11.25">
      <c r="A3" s="0" t="s">
        <v>16</v>
      </c>
      <c r="B3" s="0" t="s">
        <v>3505</v>
      </c>
      <c r="C3" s="0" t="s">
        <v>3506</v>
      </c>
      <c r="D3" s="0" t="s">
        <v>3505</v>
      </c>
      <c r="E3" s="0" t="s">
        <v>3506</v>
      </c>
      <c r="F3" s="0" t="s">
        <v>3507</v>
      </c>
      <c r="G3" s="0" t="s">
        <v>102</v>
      </c>
    </row>
    <row customHeight="1" ht="11.25">
      <c r="A4" s="0" t="s">
        <v>16</v>
      </c>
      <c r="B4" s="0" t="s">
        <v>3508</v>
      </c>
      <c r="C4" s="0" t="s">
        <v>3509</v>
      </c>
      <c r="D4" s="0" t="s">
        <v>3508</v>
      </c>
      <c r="E4" s="0" t="s">
        <v>3509</v>
      </c>
      <c r="F4" s="0" t="s">
        <v>3507</v>
      </c>
      <c r="G4" s="0" t="s">
        <v>89</v>
      </c>
    </row>
    <row customHeight="1" ht="11.25">
      <c r="A5" s="0" t="s">
        <v>16</v>
      </c>
      <c r="B5" s="0" t="s">
        <v>3510</v>
      </c>
      <c r="C5" s="0" t="s">
        <v>3511</v>
      </c>
      <c r="D5" s="0" t="s">
        <v>3510</v>
      </c>
      <c r="E5" s="0" t="s">
        <v>3511</v>
      </c>
      <c r="F5" s="0" t="s">
        <v>3507</v>
      </c>
      <c r="G5" s="0" t="s">
        <v>90</v>
      </c>
    </row>
    <row customHeight="1" ht="11.25">
      <c r="A6" s="0" t="s">
        <v>16</v>
      </c>
      <c r="B6" s="0" t="s">
        <v>150</v>
      </c>
      <c r="C6" s="0" t="s">
        <v>151</v>
      </c>
      <c r="D6" s="0" t="s">
        <v>150</v>
      </c>
      <c r="E6" s="0" t="s">
        <v>151</v>
      </c>
      <c r="F6" s="0" t="s">
        <v>3507</v>
      </c>
      <c r="G6" s="0" t="s">
        <v>120</v>
      </c>
    </row>
    <row customHeight="1" ht="11.25">
      <c r="A7" s="0" t="s">
        <v>16</v>
      </c>
      <c r="B7" s="0" t="s">
        <v>127</v>
      </c>
      <c r="C7" s="0" t="s">
        <v>128</v>
      </c>
      <c r="D7" s="0" t="s">
        <v>127</v>
      </c>
      <c r="E7" s="0" t="s">
        <v>128</v>
      </c>
      <c r="F7" s="0" t="s">
        <v>3507</v>
      </c>
      <c r="G7" s="0" t="s">
        <v>91</v>
      </c>
    </row>
    <row customHeight="1" ht="11.25">
      <c r="A8" s="0" t="s">
        <v>16</v>
      </c>
      <c r="B8" s="0" t="s">
        <v>163</v>
      </c>
      <c r="C8" s="0" t="s">
        <v>164</v>
      </c>
      <c r="D8" s="0" t="s">
        <v>163</v>
      </c>
      <c r="E8" s="0" t="s">
        <v>164</v>
      </c>
      <c r="F8" s="0" t="s">
        <v>3507</v>
      </c>
      <c r="G8" s="0" t="s">
        <v>92</v>
      </c>
    </row>
    <row customHeight="1" ht="11.25">
      <c r="A9" s="0" t="s">
        <v>16</v>
      </c>
      <c r="B9" s="0" t="s">
        <v>3512</v>
      </c>
      <c r="C9" s="0" t="s">
        <v>3513</v>
      </c>
      <c r="D9" s="0" t="s">
        <v>3514</v>
      </c>
      <c r="E9" s="0" t="s">
        <v>3515</v>
      </c>
      <c r="F9" s="0" t="s">
        <v>3516</v>
      </c>
      <c r="G9" s="0" t="s">
        <v>133</v>
      </c>
    </row>
    <row customHeight="1" ht="11.25">
      <c r="A10" s="0" t="s">
        <v>16</v>
      </c>
      <c r="B10" s="0" t="s">
        <v>3512</v>
      </c>
      <c r="C10" s="0" t="s">
        <v>3513</v>
      </c>
      <c r="D10" s="0" t="s">
        <v>3512</v>
      </c>
      <c r="E10" s="0" t="s">
        <v>3513</v>
      </c>
      <c r="F10" s="0" t="s">
        <v>3517</v>
      </c>
      <c r="G10" s="0" t="s">
        <v>148</v>
      </c>
    </row>
    <row customHeight="1" ht="11.25">
      <c r="A11" s="0" t="s">
        <v>16</v>
      </c>
      <c r="B11" s="0" t="s">
        <v>3512</v>
      </c>
      <c r="C11" s="0" t="s">
        <v>3513</v>
      </c>
      <c r="D11" s="0" t="s">
        <v>3518</v>
      </c>
      <c r="E11" s="0" t="s">
        <v>3519</v>
      </c>
      <c r="F11" s="0" t="s">
        <v>3516</v>
      </c>
      <c r="G11" s="0" t="s">
        <v>155</v>
      </c>
    </row>
    <row customHeight="1" ht="11.25">
      <c r="A12" s="0" t="s">
        <v>16</v>
      </c>
      <c r="B12" s="0" t="s">
        <v>3512</v>
      </c>
      <c r="C12" s="0" t="s">
        <v>3513</v>
      </c>
      <c r="D12" s="0" t="s">
        <v>3520</v>
      </c>
      <c r="E12" s="0" t="s">
        <v>3521</v>
      </c>
      <c r="F12" s="0" t="s">
        <v>3522</v>
      </c>
      <c r="G12" s="0" t="s">
        <v>161</v>
      </c>
    </row>
    <row customHeight="1" ht="11.25">
      <c r="A13" s="0" t="s">
        <v>16</v>
      </c>
      <c r="B13" s="0" t="s">
        <v>3512</v>
      </c>
      <c r="C13" s="0" t="s">
        <v>3513</v>
      </c>
      <c r="D13" s="0" t="s">
        <v>3523</v>
      </c>
      <c r="E13" s="0" t="s">
        <v>3524</v>
      </c>
      <c r="F13" s="0" t="s">
        <v>3516</v>
      </c>
      <c r="G13" s="0" t="s">
        <v>165</v>
      </c>
    </row>
    <row customHeight="1" ht="11.25">
      <c r="A14" s="0" t="s">
        <v>16</v>
      </c>
      <c r="B14" s="0" t="s">
        <v>3512</v>
      </c>
      <c r="C14" s="0" t="s">
        <v>3513</v>
      </c>
      <c r="D14" s="0" t="s">
        <v>3525</v>
      </c>
      <c r="E14" s="0" t="s">
        <v>3526</v>
      </c>
      <c r="F14" s="0" t="s">
        <v>3516</v>
      </c>
      <c r="G14" s="0" t="s">
        <v>292</v>
      </c>
    </row>
    <row customHeight="1" ht="11.25">
      <c r="A15" s="0" t="s">
        <v>16</v>
      </c>
      <c r="B15" s="0" t="s">
        <v>3512</v>
      </c>
      <c r="C15" s="0" t="s">
        <v>3513</v>
      </c>
      <c r="D15" s="0" t="s">
        <v>3527</v>
      </c>
      <c r="E15" s="0" t="s">
        <v>3528</v>
      </c>
      <c r="F15" s="0" t="s">
        <v>3516</v>
      </c>
      <c r="G15" s="0" t="s">
        <v>293</v>
      </c>
    </row>
    <row customHeight="1" ht="11.25">
      <c r="A16" s="0" t="s">
        <v>16</v>
      </c>
      <c r="B16" s="0" t="s">
        <v>3512</v>
      </c>
      <c r="C16" s="0" t="s">
        <v>3513</v>
      </c>
      <c r="D16" s="0" t="s">
        <v>3529</v>
      </c>
      <c r="E16" s="0" t="s">
        <v>3530</v>
      </c>
      <c r="F16" s="0" t="s">
        <v>3516</v>
      </c>
      <c r="G16" s="0" t="s">
        <v>1794</v>
      </c>
    </row>
    <row customHeight="1" ht="11.25">
      <c r="A17" s="0" t="s">
        <v>16</v>
      </c>
      <c r="B17" s="0" t="s">
        <v>131</v>
      </c>
      <c r="C17" s="0" t="s">
        <v>132</v>
      </c>
      <c r="D17" s="0" t="s">
        <v>131</v>
      </c>
      <c r="E17" s="0" t="s">
        <v>132</v>
      </c>
      <c r="F17" s="0" t="s">
        <v>3504</v>
      </c>
      <c r="G17" s="0" t="s">
        <v>130</v>
      </c>
    </row>
    <row customHeight="1" ht="11.25">
      <c r="A18" s="0" t="s">
        <v>16</v>
      </c>
      <c r="B18" s="0" t="s">
        <v>3531</v>
      </c>
      <c r="C18" s="0" t="s">
        <v>3532</v>
      </c>
      <c r="D18" s="0" t="s">
        <v>3533</v>
      </c>
      <c r="E18" s="0" t="s">
        <v>3534</v>
      </c>
      <c r="F18" s="0" t="s">
        <v>3516</v>
      </c>
      <c r="G18" s="0" t="s">
        <v>1811</v>
      </c>
    </row>
    <row customHeight="1" ht="11.25">
      <c r="A19" s="0" t="s">
        <v>16</v>
      </c>
      <c r="B19" s="0" t="s">
        <v>3531</v>
      </c>
      <c r="C19" s="0" t="s">
        <v>3532</v>
      </c>
      <c r="D19" s="0" t="s">
        <v>3535</v>
      </c>
      <c r="E19" s="0" t="s">
        <v>3536</v>
      </c>
      <c r="F19" s="0" t="s">
        <v>3537</v>
      </c>
      <c r="G19" s="0" t="s">
        <v>1825</v>
      </c>
    </row>
    <row customHeight="1" ht="11.25">
      <c r="A20" s="0" t="s">
        <v>16</v>
      </c>
      <c r="B20" s="0" t="s">
        <v>3531</v>
      </c>
      <c r="C20" s="0" t="s">
        <v>3532</v>
      </c>
      <c r="D20" s="0" t="s">
        <v>3531</v>
      </c>
      <c r="E20" s="0" t="s">
        <v>3532</v>
      </c>
      <c r="F20" s="0" t="s">
        <v>3517</v>
      </c>
      <c r="G20" s="0" t="s">
        <v>1837</v>
      </c>
    </row>
    <row customHeight="1" ht="11.25">
      <c r="A21" s="0" t="s">
        <v>16</v>
      </c>
      <c r="B21" s="0" t="s">
        <v>3531</v>
      </c>
      <c r="C21" s="0" t="s">
        <v>3532</v>
      </c>
      <c r="D21" s="0" t="s">
        <v>3538</v>
      </c>
      <c r="E21" s="0" t="s">
        <v>3539</v>
      </c>
      <c r="F21" s="0" t="s">
        <v>3537</v>
      </c>
      <c r="G21" s="0" t="s">
        <v>1846</v>
      </c>
    </row>
    <row customHeight="1" ht="11.25">
      <c r="A22" s="0" t="s">
        <v>16</v>
      </c>
      <c r="B22" s="0" t="s">
        <v>3531</v>
      </c>
      <c r="C22" s="0" t="s">
        <v>3532</v>
      </c>
      <c r="D22" s="0" t="s">
        <v>3540</v>
      </c>
      <c r="E22" s="0" t="s">
        <v>3541</v>
      </c>
      <c r="F22" s="0" t="s">
        <v>3516</v>
      </c>
      <c r="G22" s="0" t="s">
        <v>1862</v>
      </c>
    </row>
    <row customHeight="1" ht="11.25">
      <c r="A23" s="0" t="s">
        <v>16</v>
      </c>
      <c r="B23" s="0" t="s">
        <v>3531</v>
      </c>
      <c r="C23" s="0" t="s">
        <v>3532</v>
      </c>
      <c r="D23" s="0" t="s">
        <v>3542</v>
      </c>
      <c r="E23" s="0" t="s">
        <v>3543</v>
      </c>
      <c r="F23" s="0" t="s">
        <v>3522</v>
      </c>
      <c r="G23" s="0" t="s">
        <v>1869</v>
      </c>
    </row>
    <row customHeight="1" ht="11.25">
      <c r="A24" s="0" t="s">
        <v>16</v>
      </c>
      <c r="B24" s="0" t="s">
        <v>3531</v>
      </c>
      <c r="C24" s="0" t="s">
        <v>3532</v>
      </c>
      <c r="D24" s="0" t="s">
        <v>3544</v>
      </c>
      <c r="E24" s="0" t="s">
        <v>3545</v>
      </c>
      <c r="F24" s="0" t="s">
        <v>3516</v>
      </c>
      <c r="G24" s="0" t="s">
        <v>1877</v>
      </c>
    </row>
    <row customHeight="1" ht="11.25">
      <c r="A25" s="0" t="s">
        <v>16</v>
      </c>
      <c r="B25" s="0" t="s">
        <v>3531</v>
      </c>
      <c r="C25" s="0" t="s">
        <v>3532</v>
      </c>
      <c r="D25" s="0" t="s">
        <v>3546</v>
      </c>
      <c r="E25" s="0" t="s">
        <v>3547</v>
      </c>
      <c r="F25" s="0" t="s">
        <v>3516</v>
      </c>
      <c r="G25" s="0" t="s">
        <v>1883</v>
      </c>
    </row>
    <row customHeight="1" ht="11.25">
      <c r="A26" s="0" t="s">
        <v>16</v>
      </c>
      <c r="B26" s="0" t="s">
        <v>3548</v>
      </c>
      <c r="C26" s="0" t="s">
        <v>3549</v>
      </c>
      <c r="D26" s="0" t="s">
        <v>3548</v>
      </c>
      <c r="E26" s="0" t="s">
        <v>3549</v>
      </c>
      <c r="F26" s="0" t="s">
        <v>3504</v>
      </c>
      <c r="G26" s="0" t="s">
        <v>1887</v>
      </c>
    </row>
    <row customHeight="1" ht="11.25">
      <c r="A27" s="0" t="s">
        <v>16</v>
      </c>
      <c r="B27" s="0" t="s">
        <v>158</v>
      </c>
      <c r="C27" s="0" t="s">
        <v>3550</v>
      </c>
      <c r="D27" s="0" t="s">
        <v>3551</v>
      </c>
      <c r="E27" s="0" t="s">
        <v>3552</v>
      </c>
      <c r="F27" s="0" t="s">
        <v>3537</v>
      </c>
      <c r="G27" s="0" t="s">
        <v>1892</v>
      </c>
    </row>
    <row customHeight="1" ht="11.25">
      <c r="A28" s="0" t="s">
        <v>16</v>
      </c>
      <c r="B28" s="0" t="s">
        <v>158</v>
      </c>
      <c r="C28" s="0" t="s">
        <v>3550</v>
      </c>
      <c r="D28" s="0" t="s">
        <v>3553</v>
      </c>
      <c r="E28" s="0" t="s">
        <v>3554</v>
      </c>
      <c r="F28" s="0" t="s">
        <v>3516</v>
      </c>
      <c r="G28" s="0" t="s">
        <v>1900</v>
      </c>
    </row>
    <row customHeight="1" ht="11.25">
      <c r="A29" s="0" t="s">
        <v>16</v>
      </c>
      <c r="B29" s="0" t="s">
        <v>158</v>
      </c>
      <c r="C29" s="0" t="s">
        <v>3550</v>
      </c>
      <c r="D29" s="0" t="s">
        <v>159</v>
      </c>
      <c r="E29" s="0" t="s">
        <v>160</v>
      </c>
      <c r="F29" s="0" t="s">
        <v>3516</v>
      </c>
      <c r="G29" s="0" t="s">
        <v>157</v>
      </c>
    </row>
    <row customHeight="1" ht="11.25">
      <c r="A30" s="0" t="s">
        <v>16</v>
      </c>
      <c r="B30" s="0" t="s">
        <v>158</v>
      </c>
      <c r="C30" s="0" t="s">
        <v>3550</v>
      </c>
      <c r="D30" s="0" t="s">
        <v>3555</v>
      </c>
      <c r="E30" s="0" t="s">
        <v>3556</v>
      </c>
      <c r="F30" s="0" t="s">
        <v>3516</v>
      </c>
      <c r="G30" s="0" t="s">
        <v>1904</v>
      </c>
    </row>
    <row customHeight="1" ht="11.25">
      <c r="A31" s="0" t="s">
        <v>16</v>
      </c>
      <c r="B31" s="0" t="s">
        <v>158</v>
      </c>
      <c r="C31" s="0" t="s">
        <v>3550</v>
      </c>
      <c r="D31" s="0" t="s">
        <v>3557</v>
      </c>
      <c r="E31" s="0" t="s">
        <v>3558</v>
      </c>
      <c r="F31" s="0" t="s">
        <v>3516</v>
      </c>
      <c r="G31" s="0" t="s">
        <v>1910</v>
      </c>
    </row>
    <row customHeight="1" ht="11.25">
      <c r="A32" s="0" t="s">
        <v>16</v>
      </c>
      <c r="B32" s="0" t="s">
        <v>158</v>
      </c>
      <c r="C32" s="0" t="s">
        <v>3550</v>
      </c>
      <c r="D32" s="0" t="s">
        <v>158</v>
      </c>
      <c r="E32" s="0" t="s">
        <v>3550</v>
      </c>
      <c r="F32" s="0" t="s">
        <v>3517</v>
      </c>
      <c r="G32" s="0" t="s">
        <v>1912</v>
      </c>
    </row>
    <row customHeight="1" ht="11.25">
      <c r="A33" s="0" t="s">
        <v>16</v>
      </c>
      <c r="B33" s="0" t="s">
        <v>158</v>
      </c>
      <c r="C33" s="0" t="s">
        <v>3550</v>
      </c>
      <c r="D33" s="0" t="s">
        <v>3559</v>
      </c>
      <c r="E33" s="0" t="s">
        <v>3560</v>
      </c>
      <c r="F33" s="0" t="s">
        <v>3516</v>
      </c>
      <c r="G33" s="0" t="s">
        <v>1914</v>
      </c>
    </row>
    <row customHeight="1" ht="11.25">
      <c r="A34" s="0" t="s">
        <v>16</v>
      </c>
      <c r="B34" s="0" t="s">
        <v>158</v>
      </c>
      <c r="C34" s="0" t="s">
        <v>3550</v>
      </c>
      <c r="D34" s="0" t="s">
        <v>3561</v>
      </c>
      <c r="E34" s="0" t="s">
        <v>3562</v>
      </c>
      <c r="F34" s="0" t="s">
        <v>3516</v>
      </c>
      <c r="G34" s="0" t="s">
        <v>1916</v>
      </c>
    </row>
    <row customHeight="1" ht="11.25">
      <c r="A35" s="0" t="s">
        <v>16</v>
      </c>
      <c r="B35" s="0" t="s">
        <v>158</v>
      </c>
      <c r="C35" s="0" t="s">
        <v>3550</v>
      </c>
      <c r="D35" s="0" t="s">
        <v>3563</v>
      </c>
      <c r="E35" s="0" t="s">
        <v>3564</v>
      </c>
      <c r="F35" s="0" t="s">
        <v>3516</v>
      </c>
      <c r="G35" s="0" t="s">
        <v>1921</v>
      </c>
    </row>
    <row customHeight="1" ht="11.25">
      <c r="A36" s="0" t="s">
        <v>16</v>
      </c>
      <c r="B36" s="0" t="s">
        <v>158</v>
      </c>
      <c r="C36" s="0" t="s">
        <v>3550</v>
      </c>
      <c r="D36" s="0" t="s">
        <v>3565</v>
      </c>
      <c r="E36" s="0" t="s">
        <v>3566</v>
      </c>
      <c r="F36" s="0" t="s">
        <v>3516</v>
      </c>
      <c r="G36" s="0" t="s">
        <v>1926</v>
      </c>
    </row>
    <row customHeight="1" ht="11.25">
      <c r="A37" s="0" t="s">
        <v>16</v>
      </c>
      <c r="B37" s="0" t="s">
        <v>158</v>
      </c>
      <c r="C37" s="0" t="s">
        <v>3550</v>
      </c>
      <c r="D37" s="0" t="s">
        <v>3567</v>
      </c>
      <c r="E37" s="0" t="s">
        <v>3568</v>
      </c>
      <c r="F37" s="0" t="s">
        <v>3516</v>
      </c>
      <c r="G37" s="0" t="s">
        <v>1930</v>
      </c>
    </row>
    <row customHeight="1" ht="11.25">
      <c r="A38" s="0" t="s">
        <v>16</v>
      </c>
      <c r="B38" s="0" t="s">
        <v>3569</v>
      </c>
      <c r="C38" s="0" t="s">
        <v>3570</v>
      </c>
      <c r="D38" s="0" t="s">
        <v>3569</v>
      </c>
      <c r="E38" s="0" t="s">
        <v>3570</v>
      </c>
      <c r="F38" s="0" t="s">
        <v>3504</v>
      </c>
      <c r="G38" s="0" t="s">
        <v>1938</v>
      </c>
    </row>
    <row customHeight="1" ht="11.25">
      <c r="A39" s="0" t="s">
        <v>16</v>
      </c>
      <c r="B39" s="0" t="s">
        <v>3571</v>
      </c>
      <c r="C39" s="0" t="s">
        <v>3572</v>
      </c>
      <c r="D39" s="0" t="s">
        <v>3571</v>
      </c>
      <c r="E39" s="0" t="s">
        <v>3572</v>
      </c>
      <c r="F39" s="0" t="s">
        <v>3507</v>
      </c>
      <c r="G39" s="0" t="s">
        <v>1944</v>
      </c>
    </row>
    <row customHeight="1" ht="11.25">
      <c r="A40" s="0" t="s">
        <v>16</v>
      </c>
      <c r="B40" s="0" t="s">
        <v>3573</v>
      </c>
      <c r="C40" s="0" t="s">
        <v>3574</v>
      </c>
      <c r="D40" s="0" t="s">
        <v>3573</v>
      </c>
      <c r="E40" s="0" t="s">
        <v>3574</v>
      </c>
      <c r="F40" s="0" t="s">
        <v>3504</v>
      </c>
      <c r="G40" s="0" t="s">
        <v>1949</v>
      </c>
    </row>
    <row customHeight="1" ht="11.25">
      <c r="A41" s="0" t="s">
        <v>16</v>
      </c>
      <c r="B41" s="0" t="s">
        <v>123</v>
      </c>
      <c r="C41" s="0" t="s">
        <v>3575</v>
      </c>
      <c r="D41" s="0" t="s">
        <v>3576</v>
      </c>
      <c r="E41" s="0" t="s">
        <v>3577</v>
      </c>
      <c r="F41" s="0" t="s">
        <v>3516</v>
      </c>
      <c r="G41" s="0" t="s">
        <v>1953</v>
      </c>
    </row>
    <row customHeight="1" ht="11.25">
      <c r="A42" s="0" t="s">
        <v>16</v>
      </c>
      <c r="B42" s="0" t="s">
        <v>123</v>
      </c>
      <c r="C42" s="0" t="s">
        <v>3575</v>
      </c>
      <c r="D42" s="0" t="s">
        <v>3578</v>
      </c>
      <c r="E42" s="0" t="s">
        <v>3579</v>
      </c>
      <c r="F42" s="0" t="s">
        <v>3516</v>
      </c>
      <c r="G42" s="0" t="s">
        <v>1956</v>
      </c>
    </row>
    <row customHeight="1" ht="11.25">
      <c r="A43" s="0" t="s">
        <v>16</v>
      </c>
      <c r="B43" s="0" t="s">
        <v>123</v>
      </c>
      <c r="C43" s="0" t="s">
        <v>3575</v>
      </c>
      <c r="D43" s="0" t="s">
        <v>3580</v>
      </c>
      <c r="E43" s="0" t="s">
        <v>3581</v>
      </c>
      <c r="F43" s="0" t="s">
        <v>3516</v>
      </c>
      <c r="G43" s="0" t="s">
        <v>1963</v>
      </c>
    </row>
    <row customHeight="1" ht="11.25">
      <c r="A44" s="0" t="s">
        <v>16</v>
      </c>
      <c r="B44" s="0" t="s">
        <v>123</v>
      </c>
      <c r="C44" s="0" t="s">
        <v>3575</v>
      </c>
      <c r="D44" s="0" t="s">
        <v>123</v>
      </c>
      <c r="E44" s="0" t="s">
        <v>3575</v>
      </c>
      <c r="F44" s="0" t="s">
        <v>3517</v>
      </c>
      <c r="G44" s="0" t="s">
        <v>1972</v>
      </c>
    </row>
    <row customHeight="1" ht="11.25">
      <c r="A45" s="0" t="s">
        <v>16</v>
      </c>
      <c r="B45" s="0" t="s">
        <v>123</v>
      </c>
      <c r="C45" s="0" t="s">
        <v>3575</v>
      </c>
      <c r="D45" s="0" t="s">
        <v>3582</v>
      </c>
      <c r="E45" s="0" t="s">
        <v>3583</v>
      </c>
      <c r="F45" s="0" t="s">
        <v>3516</v>
      </c>
      <c r="G45" s="0" t="s">
        <v>1977</v>
      </c>
    </row>
    <row customHeight="1" ht="11.25">
      <c r="A46" s="0" t="s">
        <v>16</v>
      </c>
      <c r="B46" s="0" t="s">
        <v>123</v>
      </c>
      <c r="C46" s="0" t="s">
        <v>3575</v>
      </c>
      <c r="D46" s="0" t="s">
        <v>124</v>
      </c>
      <c r="E46" s="0" t="s">
        <v>125</v>
      </c>
      <c r="F46" s="0" t="s">
        <v>3537</v>
      </c>
      <c r="G46" s="0" t="s">
        <v>122</v>
      </c>
    </row>
    <row customHeight="1" ht="11.25">
      <c r="A47" s="0" t="s">
        <v>16</v>
      </c>
      <c r="B47" s="0" t="s">
        <v>123</v>
      </c>
      <c r="C47" s="0" t="s">
        <v>3575</v>
      </c>
      <c r="D47" s="0" t="s">
        <v>3584</v>
      </c>
      <c r="E47" s="0" t="s">
        <v>3585</v>
      </c>
      <c r="F47" s="0" t="s">
        <v>3516</v>
      </c>
      <c r="G47" s="0" t="s">
        <v>1985</v>
      </c>
    </row>
    <row customHeight="1" ht="11.25">
      <c r="A48" s="0" t="s">
        <v>16</v>
      </c>
      <c r="B48" s="0" t="s">
        <v>123</v>
      </c>
      <c r="C48" s="0" t="s">
        <v>3575</v>
      </c>
      <c r="D48" s="0" t="s">
        <v>3586</v>
      </c>
      <c r="E48" s="0" t="s">
        <v>3587</v>
      </c>
      <c r="F48" s="0" t="s">
        <v>3516</v>
      </c>
      <c r="G48" s="0" t="s">
        <v>1989</v>
      </c>
    </row>
    <row customHeight="1" ht="11.25">
      <c r="A49" s="0" t="s">
        <v>16</v>
      </c>
      <c r="B49" s="0" t="s">
        <v>3588</v>
      </c>
      <c r="C49" s="0" t="s">
        <v>3589</v>
      </c>
      <c r="D49" s="0" t="s">
        <v>3588</v>
      </c>
      <c r="E49" s="0" t="s">
        <v>3589</v>
      </c>
      <c r="F49" s="0" t="s">
        <v>3517</v>
      </c>
      <c r="G49" s="0" t="s">
        <v>1992</v>
      </c>
    </row>
    <row customHeight="1" ht="11.25">
      <c r="A50" s="0" t="s">
        <v>16</v>
      </c>
      <c r="B50" s="0" t="s">
        <v>3588</v>
      </c>
      <c r="C50" s="0" t="s">
        <v>3589</v>
      </c>
      <c r="D50" s="0" t="s">
        <v>3590</v>
      </c>
      <c r="E50" s="0" t="s">
        <v>3591</v>
      </c>
      <c r="F50" s="0" t="s">
        <v>3516</v>
      </c>
      <c r="G50" s="0" t="s">
        <v>1996</v>
      </c>
    </row>
    <row customHeight="1" ht="11.25">
      <c r="A51" s="0" t="s">
        <v>16</v>
      </c>
      <c r="B51" s="0" t="s">
        <v>3588</v>
      </c>
      <c r="C51" s="0" t="s">
        <v>3589</v>
      </c>
      <c r="D51" s="0" t="s">
        <v>3592</v>
      </c>
      <c r="E51" s="0" t="s">
        <v>3593</v>
      </c>
      <c r="F51" s="0" t="s">
        <v>3516</v>
      </c>
      <c r="G51" s="0" t="s">
        <v>2001</v>
      </c>
    </row>
    <row customHeight="1" ht="11.25">
      <c r="A52" s="0" t="s">
        <v>16</v>
      </c>
      <c r="B52" s="0" t="s">
        <v>3588</v>
      </c>
      <c r="C52" s="0" t="s">
        <v>3589</v>
      </c>
      <c r="D52" s="0" t="s">
        <v>3594</v>
      </c>
      <c r="E52" s="0" t="s">
        <v>3595</v>
      </c>
      <c r="F52" s="0" t="s">
        <v>3516</v>
      </c>
      <c r="G52" s="0" t="s">
        <v>2005</v>
      </c>
    </row>
    <row customHeight="1" ht="11.25">
      <c r="A53" s="0" t="s">
        <v>16</v>
      </c>
      <c r="B53" s="0" t="s">
        <v>3596</v>
      </c>
      <c r="C53" s="0" t="s">
        <v>3597</v>
      </c>
      <c r="D53" s="0" t="s">
        <v>3596</v>
      </c>
      <c r="E53" s="0" t="s">
        <v>3597</v>
      </c>
      <c r="F53" s="0" t="s">
        <v>3507</v>
      </c>
      <c r="G53" s="0" t="s">
        <v>2007</v>
      </c>
    </row>
    <row customHeight="1" ht="11.25">
      <c r="A54" s="0" t="s">
        <v>16</v>
      </c>
      <c r="B54" s="0" t="s">
        <v>3598</v>
      </c>
      <c r="C54" s="0" t="s">
        <v>3599</v>
      </c>
      <c r="D54" s="0" t="s">
        <v>3598</v>
      </c>
      <c r="E54" s="0" t="s">
        <v>3599</v>
      </c>
      <c r="F54" s="0" t="s">
        <v>3504</v>
      </c>
      <c r="G54" s="0" t="s">
        <v>2010</v>
      </c>
    </row>
    <row customHeight="1" ht="11.25">
      <c r="A55" s="0" t="s">
        <v>16</v>
      </c>
      <c r="B55" s="0" t="s">
        <v>3600</v>
      </c>
      <c r="C55" s="0" t="s">
        <v>3601</v>
      </c>
      <c r="D55" s="0" t="s">
        <v>3600</v>
      </c>
      <c r="E55" s="0" t="s">
        <v>3601</v>
      </c>
      <c r="F55" s="0" t="s">
        <v>3504</v>
      </c>
      <c r="G55" s="0" t="s">
        <v>2015</v>
      </c>
    </row>
    <row customHeight="1" ht="11.25">
      <c r="A56" s="0" t="s">
        <v>16</v>
      </c>
      <c r="B56" s="0" t="s">
        <v>3602</v>
      </c>
      <c r="C56" s="0" t="s">
        <v>3603</v>
      </c>
      <c r="D56" s="0" t="s">
        <v>3602</v>
      </c>
      <c r="E56" s="0" t="s">
        <v>3603</v>
      </c>
      <c r="F56" s="0" t="s">
        <v>3507</v>
      </c>
      <c r="G56" s="0" t="s">
        <v>2019</v>
      </c>
    </row>
    <row customHeight="1" ht="11.25">
      <c r="A57" s="0" t="s">
        <v>16</v>
      </c>
      <c r="B57" s="0" t="s">
        <v>3604</v>
      </c>
      <c r="C57" s="0" t="s">
        <v>3605</v>
      </c>
      <c r="D57" s="0" t="s">
        <v>3604</v>
      </c>
      <c r="E57" s="0" t="s">
        <v>3605</v>
      </c>
      <c r="F57" s="0" t="s">
        <v>3504</v>
      </c>
      <c r="G57" s="0" t="s">
        <v>2023</v>
      </c>
    </row>
    <row customHeight="1" ht="11.25">
      <c r="A58" s="0" t="s">
        <v>16</v>
      </c>
      <c r="B58" s="0" t="s">
        <v>3606</v>
      </c>
      <c r="C58" s="0" t="s">
        <v>3607</v>
      </c>
      <c r="D58" s="0" t="s">
        <v>3608</v>
      </c>
      <c r="E58" s="0" t="s">
        <v>3609</v>
      </c>
      <c r="F58" s="0" t="s">
        <v>3516</v>
      </c>
      <c r="G58" s="0" t="s">
        <v>2026</v>
      </c>
    </row>
    <row customHeight="1" ht="11.25">
      <c r="A59" s="0" t="s">
        <v>16</v>
      </c>
      <c r="B59" s="0" t="s">
        <v>3606</v>
      </c>
      <c r="C59" s="0" t="s">
        <v>3607</v>
      </c>
      <c r="D59" s="0" t="s">
        <v>3610</v>
      </c>
      <c r="E59" s="0" t="s">
        <v>3611</v>
      </c>
      <c r="F59" s="0" t="s">
        <v>3516</v>
      </c>
      <c r="G59" s="0" t="s">
        <v>2030</v>
      </c>
    </row>
    <row customHeight="1" ht="11.25">
      <c r="A60" s="0" t="s">
        <v>16</v>
      </c>
      <c r="B60" s="0" t="s">
        <v>3606</v>
      </c>
      <c r="C60" s="0" t="s">
        <v>3607</v>
      </c>
      <c r="D60" s="0" t="s">
        <v>3612</v>
      </c>
      <c r="E60" s="0" t="s">
        <v>3613</v>
      </c>
      <c r="F60" s="0" t="s">
        <v>3516</v>
      </c>
      <c r="G60" s="0" t="s">
        <v>2033</v>
      </c>
    </row>
    <row customHeight="1" ht="11.25">
      <c r="A61" s="0" t="s">
        <v>16</v>
      </c>
      <c r="B61" s="0" t="s">
        <v>3606</v>
      </c>
      <c r="C61" s="0" t="s">
        <v>3607</v>
      </c>
      <c r="D61" s="0" t="s">
        <v>3614</v>
      </c>
      <c r="E61" s="0" t="s">
        <v>3615</v>
      </c>
      <c r="F61" s="0" t="s">
        <v>3522</v>
      </c>
      <c r="G61" s="0" t="s">
        <v>3616</v>
      </c>
    </row>
    <row customHeight="1" ht="11.25">
      <c r="A62" s="0" t="s">
        <v>16</v>
      </c>
      <c r="B62" s="0" t="s">
        <v>3606</v>
      </c>
      <c r="C62" s="0" t="s">
        <v>3607</v>
      </c>
      <c r="D62" s="0" t="s">
        <v>3617</v>
      </c>
      <c r="E62" s="0" t="s">
        <v>3618</v>
      </c>
      <c r="F62" s="0" t="s">
        <v>3516</v>
      </c>
      <c r="G62" s="0" t="s">
        <v>3619</v>
      </c>
    </row>
    <row customHeight="1" ht="11.25">
      <c r="A63" s="0" t="s">
        <v>16</v>
      </c>
      <c r="B63" s="0" t="s">
        <v>3606</v>
      </c>
      <c r="C63" s="0" t="s">
        <v>3607</v>
      </c>
      <c r="D63" s="0" t="s">
        <v>3620</v>
      </c>
      <c r="E63" s="0" t="s">
        <v>3621</v>
      </c>
      <c r="F63" s="0" t="s">
        <v>3516</v>
      </c>
      <c r="G63" s="0" t="s">
        <v>3622</v>
      </c>
    </row>
    <row customHeight="1" ht="11.25">
      <c r="A64" s="0" t="s">
        <v>16</v>
      </c>
      <c r="B64" s="0" t="s">
        <v>3606</v>
      </c>
      <c r="C64" s="0" t="s">
        <v>3607</v>
      </c>
      <c r="D64" s="0" t="s">
        <v>3606</v>
      </c>
      <c r="E64" s="0" t="s">
        <v>3607</v>
      </c>
      <c r="F64" s="0" t="s">
        <v>3517</v>
      </c>
      <c r="G64" s="0" t="s">
        <v>3623</v>
      </c>
    </row>
    <row customHeight="1" ht="11.25">
      <c r="A65" s="0" t="s">
        <v>16</v>
      </c>
      <c r="B65" s="0" t="s">
        <v>3606</v>
      </c>
      <c r="C65" s="0" t="s">
        <v>3607</v>
      </c>
      <c r="D65" s="0" t="s">
        <v>3624</v>
      </c>
      <c r="E65" s="0" t="s">
        <v>3625</v>
      </c>
      <c r="F65" s="0" t="s">
        <v>3516</v>
      </c>
      <c r="G65" s="0" t="s">
        <v>3626</v>
      </c>
    </row>
    <row customHeight="1" ht="11.25">
      <c r="A66" s="0" t="s">
        <v>16</v>
      </c>
      <c r="B66" s="0" t="s">
        <v>3627</v>
      </c>
      <c r="C66" s="0" t="s">
        <v>3628</v>
      </c>
      <c r="D66" s="0" t="s">
        <v>3627</v>
      </c>
      <c r="E66" s="0" t="s">
        <v>3628</v>
      </c>
      <c r="F66" s="0" t="s">
        <v>3504</v>
      </c>
      <c r="G66" s="0" t="s">
        <v>3629</v>
      </c>
    </row>
    <row customHeight="1" ht="11.25">
      <c r="A67" s="0" t="s">
        <v>16</v>
      </c>
      <c r="B67" s="0" t="s">
        <v>3630</v>
      </c>
      <c r="C67" s="0" t="s">
        <v>3631</v>
      </c>
      <c r="D67" s="0" t="s">
        <v>3630</v>
      </c>
      <c r="E67" s="0" t="s">
        <v>3631</v>
      </c>
      <c r="F67" s="0" t="s">
        <v>3504</v>
      </c>
      <c r="G67" s="0" t="s">
        <v>2346</v>
      </c>
    </row>
    <row customHeight="1" ht="11.25">
      <c r="A68" s="0" t="s">
        <v>16</v>
      </c>
      <c r="B68" s="0" t="s">
        <v>153</v>
      </c>
      <c r="C68" s="0" t="s">
        <v>154</v>
      </c>
      <c r="D68" s="0" t="s">
        <v>3632</v>
      </c>
      <c r="E68" s="0" t="s">
        <v>3633</v>
      </c>
      <c r="F68" s="0" t="s">
        <v>3516</v>
      </c>
      <c r="G68" s="0" t="s">
        <v>3634</v>
      </c>
    </row>
    <row customHeight="1" ht="11.25">
      <c r="A69" s="0" t="s">
        <v>16</v>
      </c>
      <c r="B69" s="0" t="s">
        <v>153</v>
      </c>
      <c r="C69" s="0" t="s">
        <v>154</v>
      </c>
      <c r="D69" s="0" t="s">
        <v>3635</v>
      </c>
      <c r="E69" s="0" t="s">
        <v>3636</v>
      </c>
      <c r="F69" s="0" t="s">
        <v>3516</v>
      </c>
      <c r="G69" s="0" t="s">
        <v>2546</v>
      </c>
    </row>
    <row customHeight="1" ht="11.25">
      <c r="A70" s="0" t="s">
        <v>16</v>
      </c>
      <c r="B70" s="0" t="s">
        <v>153</v>
      </c>
      <c r="C70" s="0" t="s">
        <v>154</v>
      </c>
      <c r="D70" s="0" t="s">
        <v>3637</v>
      </c>
      <c r="E70" s="0" t="s">
        <v>3638</v>
      </c>
      <c r="F70" s="0" t="s">
        <v>3516</v>
      </c>
      <c r="G70" s="0" t="s">
        <v>3639</v>
      </c>
    </row>
    <row customHeight="1" ht="11.25">
      <c r="A71" s="0" t="s">
        <v>16</v>
      </c>
      <c r="B71" s="0" t="s">
        <v>153</v>
      </c>
      <c r="C71" s="0" t="s">
        <v>154</v>
      </c>
      <c r="D71" s="0" t="s">
        <v>3640</v>
      </c>
      <c r="E71" s="0" t="s">
        <v>3641</v>
      </c>
      <c r="F71" s="0" t="s">
        <v>3516</v>
      </c>
      <c r="G71" s="0" t="s">
        <v>3642</v>
      </c>
    </row>
    <row customHeight="1" ht="11.25">
      <c r="A72" s="0" t="s">
        <v>16</v>
      </c>
      <c r="B72" s="0" t="s">
        <v>153</v>
      </c>
      <c r="C72" s="0" t="s">
        <v>154</v>
      </c>
      <c r="D72" s="0" t="s">
        <v>3643</v>
      </c>
      <c r="E72" s="0" t="s">
        <v>3644</v>
      </c>
      <c r="F72" s="0" t="s">
        <v>3516</v>
      </c>
      <c r="G72" s="0" t="s">
        <v>3645</v>
      </c>
    </row>
    <row customHeight="1" ht="11.25">
      <c r="A73" s="0" t="s">
        <v>16</v>
      </c>
      <c r="B73" s="0" t="s">
        <v>153</v>
      </c>
      <c r="C73" s="0" t="s">
        <v>154</v>
      </c>
      <c r="D73" s="0" t="s">
        <v>153</v>
      </c>
      <c r="E73" s="0" t="s">
        <v>154</v>
      </c>
      <c r="F73" s="0" t="s">
        <v>3517</v>
      </c>
      <c r="G73" s="0" t="s">
        <v>152</v>
      </c>
    </row>
    <row customHeight="1" ht="11.25">
      <c r="A74" s="0" t="s">
        <v>16</v>
      </c>
      <c r="B74" s="0" t="s">
        <v>153</v>
      </c>
      <c r="C74" s="0" t="s">
        <v>154</v>
      </c>
      <c r="D74" s="0" t="s">
        <v>3646</v>
      </c>
      <c r="E74" s="0" t="s">
        <v>3647</v>
      </c>
      <c r="F74" s="0" t="s">
        <v>3516</v>
      </c>
      <c r="G74" s="0" t="s">
        <v>3648</v>
      </c>
    </row>
    <row customHeight="1" ht="11.25">
      <c r="A75" s="0" t="s">
        <v>16</v>
      </c>
      <c r="B75" s="0" t="s">
        <v>153</v>
      </c>
      <c r="C75" s="0" t="s">
        <v>154</v>
      </c>
      <c r="D75" s="0" t="s">
        <v>3649</v>
      </c>
      <c r="E75" s="0" t="s">
        <v>3650</v>
      </c>
      <c r="F75" s="0" t="s">
        <v>3516</v>
      </c>
      <c r="G75" s="0" t="s">
        <v>3651</v>
      </c>
    </row>
    <row customHeight="1" ht="11.25">
      <c r="A76" s="0" t="s">
        <v>16</v>
      </c>
      <c r="B76" s="0" t="s">
        <v>153</v>
      </c>
      <c r="C76" s="0" t="s">
        <v>154</v>
      </c>
      <c r="D76" s="0" t="s">
        <v>3652</v>
      </c>
      <c r="E76" s="0" t="s">
        <v>3653</v>
      </c>
      <c r="F76" s="0" t="s">
        <v>3516</v>
      </c>
      <c r="G76" s="0" t="s">
        <v>3654</v>
      </c>
    </row>
    <row customHeight="1" ht="11.25">
      <c r="A77" s="0" t="s">
        <v>16</v>
      </c>
      <c r="B77" s="0" t="s">
        <v>3655</v>
      </c>
      <c r="C77" s="0" t="s">
        <v>3656</v>
      </c>
      <c r="D77" s="0" t="s">
        <v>3655</v>
      </c>
      <c r="E77" s="0" t="s">
        <v>3656</v>
      </c>
      <c r="F77" s="0" t="s">
        <v>3504</v>
      </c>
      <c r="G77" s="0" t="s">
        <v>3657</v>
      </c>
    </row>
    <row customHeight="1" ht="11.25">
      <c r="A78" s="0" t="s">
        <v>16</v>
      </c>
      <c r="B78" s="0" t="s">
        <v>3658</v>
      </c>
      <c r="C78" s="0" t="s">
        <v>3659</v>
      </c>
      <c r="D78" s="0" t="s">
        <v>3658</v>
      </c>
      <c r="E78" s="0" t="s">
        <v>3659</v>
      </c>
      <c r="F78" s="0" t="s">
        <v>3507</v>
      </c>
      <c r="G78" s="0" t="s">
        <v>3660</v>
      </c>
    </row>
    <row customHeight="1" ht="11.25">
      <c r="A79" s="0" t="s">
        <v>16</v>
      </c>
      <c r="B79" s="0" t="s">
        <v>3661</v>
      </c>
      <c r="C79" s="0" t="s">
        <v>3662</v>
      </c>
      <c r="D79" s="0" t="s">
        <v>3661</v>
      </c>
      <c r="E79" s="0" t="s">
        <v>3662</v>
      </c>
      <c r="F79" s="0" t="s">
        <v>3504</v>
      </c>
      <c r="G79" s="0" t="s">
        <v>3663</v>
      </c>
    </row>
    <row customHeight="1" ht="11.25">
      <c r="A80" s="0" t="s">
        <v>16</v>
      </c>
      <c r="B80" s="0" t="s">
        <v>3664</v>
      </c>
      <c r="C80" s="0" t="s">
        <v>3665</v>
      </c>
      <c r="D80" s="0" t="s">
        <v>3664</v>
      </c>
      <c r="E80" s="0" t="s">
        <v>3665</v>
      </c>
      <c r="F80" s="0" t="s">
        <v>3504</v>
      </c>
      <c r="G80" s="0" t="s">
        <v>3666</v>
      </c>
    </row>
    <row customHeight="1" ht="11.25">
      <c r="A81" s="0" t="s">
        <v>16</v>
      </c>
      <c r="B81" s="0" t="s">
        <v>136</v>
      </c>
      <c r="C81" s="0" t="s">
        <v>137</v>
      </c>
      <c r="D81" s="0" t="s">
        <v>136</v>
      </c>
      <c r="E81" s="0" t="s">
        <v>137</v>
      </c>
      <c r="F81" s="0" t="s">
        <v>3504</v>
      </c>
      <c r="G81" s="0" t="s">
        <v>135</v>
      </c>
    </row>
    <row customHeight="1" ht="11.25">
      <c r="A82" s="0" t="s">
        <v>16</v>
      </c>
      <c r="B82" s="0" t="s">
        <v>139</v>
      </c>
      <c r="C82" s="0" t="s">
        <v>3667</v>
      </c>
      <c r="D82" s="0" t="s">
        <v>140</v>
      </c>
      <c r="E82" s="0" t="s">
        <v>141</v>
      </c>
      <c r="F82" s="0" t="s">
        <v>3516</v>
      </c>
      <c r="G82" s="0" t="s">
        <v>138</v>
      </c>
    </row>
    <row customHeight="1" ht="11.25">
      <c r="A83" s="0" t="s">
        <v>16</v>
      </c>
      <c r="B83" s="0" t="s">
        <v>139</v>
      </c>
      <c r="C83" s="0" t="s">
        <v>3667</v>
      </c>
      <c r="D83" s="0" t="s">
        <v>3668</v>
      </c>
      <c r="E83" s="0" t="s">
        <v>3669</v>
      </c>
      <c r="F83" s="0" t="s">
        <v>3522</v>
      </c>
      <c r="G83" s="0" t="s">
        <v>3670</v>
      </c>
    </row>
    <row customHeight="1" ht="11.25">
      <c r="A84" s="0" t="s">
        <v>16</v>
      </c>
      <c r="B84" s="0" t="s">
        <v>139</v>
      </c>
      <c r="C84" s="0" t="s">
        <v>3667</v>
      </c>
      <c r="D84" s="0" t="s">
        <v>143</v>
      </c>
      <c r="E84" s="0" t="s">
        <v>144</v>
      </c>
      <c r="F84" s="0" t="s">
        <v>3516</v>
      </c>
      <c r="G84" s="0" t="s">
        <v>142</v>
      </c>
    </row>
    <row customHeight="1" ht="11.25">
      <c r="A85" s="0" t="s">
        <v>16</v>
      </c>
      <c r="B85" s="0" t="s">
        <v>139</v>
      </c>
      <c r="C85" s="0" t="s">
        <v>3667</v>
      </c>
      <c r="D85" s="0" t="s">
        <v>3671</v>
      </c>
      <c r="E85" s="0" t="s">
        <v>3672</v>
      </c>
      <c r="F85" s="0" t="s">
        <v>3537</v>
      </c>
      <c r="G85" s="0" t="s">
        <v>3673</v>
      </c>
    </row>
    <row customHeight="1" ht="11.25">
      <c r="A86" s="0" t="s">
        <v>16</v>
      </c>
      <c r="B86" s="0" t="s">
        <v>139</v>
      </c>
      <c r="C86" s="0" t="s">
        <v>3667</v>
      </c>
      <c r="D86" s="0" t="s">
        <v>146</v>
      </c>
      <c r="E86" s="0" t="s">
        <v>147</v>
      </c>
      <c r="F86" s="0" t="s">
        <v>3516</v>
      </c>
      <c r="G86" s="0" t="s">
        <v>145</v>
      </c>
    </row>
    <row customHeight="1" ht="11.25">
      <c r="A87" s="0" t="s">
        <v>16</v>
      </c>
      <c r="B87" s="0" t="s">
        <v>139</v>
      </c>
      <c r="C87" s="0" t="s">
        <v>3667</v>
      </c>
      <c r="D87" s="0" t="s">
        <v>139</v>
      </c>
      <c r="E87" s="0" t="s">
        <v>3667</v>
      </c>
      <c r="F87" s="0" t="s">
        <v>3517</v>
      </c>
      <c r="G87" s="0" t="s">
        <v>3674</v>
      </c>
    </row>
    <row customHeight="1" ht="11.25">
      <c r="A88" s="0" t="s">
        <v>16</v>
      </c>
      <c r="B88" s="0" t="s">
        <v>139</v>
      </c>
      <c r="C88" s="0" t="s">
        <v>3667</v>
      </c>
      <c r="D88" s="0" t="s">
        <v>3675</v>
      </c>
      <c r="E88" s="0" t="s">
        <v>3676</v>
      </c>
      <c r="F88" s="0" t="s">
        <v>3516</v>
      </c>
      <c r="G88" s="0" t="s">
        <v>3677</v>
      </c>
    </row>
    <row customHeight="1" ht="11.25">
      <c r="A89" s="0" t="s">
        <v>16</v>
      </c>
      <c r="B89" s="0" t="s">
        <v>3678</v>
      </c>
      <c r="C89" s="0" t="s">
        <v>3679</v>
      </c>
      <c r="D89" s="0" t="s">
        <v>3678</v>
      </c>
      <c r="E89" s="0" t="s">
        <v>3679</v>
      </c>
      <c r="F89" s="0" t="s">
        <v>3504</v>
      </c>
      <c r="G89" s="0" t="s">
        <v>3680</v>
      </c>
    </row>
    <row customHeight="1" ht="11.25">
      <c r="A90" s="0" t="s">
        <v>16</v>
      </c>
      <c r="B90" s="0" t="s">
        <v>1306</v>
      </c>
      <c r="C90" s="0" t="s">
        <v>1307</v>
      </c>
      <c r="D90" s="0" t="s">
        <v>1306</v>
      </c>
      <c r="E90" s="0" t="s">
        <v>1307</v>
      </c>
      <c r="F90" s="0" t="s">
        <v>3504</v>
      </c>
      <c r="G90" s="0" t="s">
        <v>3681</v>
      </c>
    </row>
    <row customHeight="1" ht="11.25">
      <c r="A91" s="0" t="s">
        <v>16</v>
      </c>
      <c r="B91" s="0" t="s">
        <v>110</v>
      </c>
      <c r="C91" s="0" t="s">
        <v>3682</v>
      </c>
      <c r="D91" s="0" t="s">
        <v>3683</v>
      </c>
      <c r="E91" s="0" t="s">
        <v>3684</v>
      </c>
      <c r="F91" s="0" t="s">
        <v>3516</v>
      </c>
      <c r="G91" s="0" t="s">
        <v>3685</v>
      </c>
    </row>
    <row customHeight="1" ht="11.25">
      <c r="A92" s="0" t="s">
        <v>16</v>
      </c>
      <c r="B92" s="0" t="s">
        <v>110</v>
      </c>
      <c r="C92" s="0" t="s">
        <v>3682</v>
      </c>
      <c r="D92" s="0" t="s">
        <v>3686</v>
      </c>
      <c r="E92" s="0" t="s">
        <v>3687</v>
      </c>
      <c r="F92" s="0" t="s">
        <v>3516</v>
      </c>
      <c r="G92" s="0" t="s">
        <v>3688</v>
      </c>
    </row>
    <row customHeight="1" ht="11.25">
      <c r="A93" s="0" t="s">
        <v>16</v>
      </c>
      <c r="B93" s="0" t="s">
        <v>110</v>
      </c>
      <c r="C93" s="0" t="s">
        <v>3682</v>
      </c>
      <c r="D93" s="0" t="s">
        <v>111</v>
      </c>
      <c r="E93" s="0" t="s">
        <v>112</v>
      </c>
      <c r="F93" s="0" t="s">
        <v>3516</v>
      </c>
      <c r="G93" s="0" t="s">
        <v>109</v>
      </c>
    </row>
    <row customHeight="1" ht="11.25">
      <c r="A94" s="0" t="s">
        <v>16</v>
      </c>
      <c r="B94" s="0" t="s">
        <v>110</v>
      </c>
      <c r="C94" s="0" t="s">
        <v>3682</v>
      </c>
      <c r="D94" s="0" t="s">
        <v>3689</v>
      </c>
      <c r="E94" s="0" t="s">
        <v>3690</v>
      </c>
      <c r="F94" s="0" t="s">
        <v>3537</v>
      </c>
      <c r="G94" s="0" t="s">
        <v>3691</v>
      </c>
    </row>
    <row customHeight="1" ht="11.25">
      <c r="A95" s="0" t="s">
        <v>16</v>
      </c>
      <c r="B95" s="0" t="s">
        <v>110</v>
      </c>
      <c r="C95" s="0" t="s">
        <v>3682</v>
      </c>
      <c r="D95" s="0" t="s">
        <v>3692</v>
      </c>
      <c r="E95" s="0" t="s">
        <v>3693</v>
      </c>
      <c r="F95" s="0" t="s">
        <v>3516</v>
      </c>
      <c r="G95" s="0" t="s">
        <v>3694</v>
      </c>
    </row>
    <row customHeight="1" ht="11.25">
      <c r="A96" s="0" t="s">
        <v>16</v>
      </c>
      <c r="B96" s="0" t="s">
        <v>110</v>
      </c>
      <c r="C96" s="0" t="s">
        <v>3682</v>
      </c>
      <c r="D96" s="0" t="s">
        <v>110</v>
      </c>
      <c r="E96" s="0" t="s">
        <v>3682</v>
      </c>
      <c r="F96" s="0" t="s">
        <v>3517</v>
      </c>
      <c r="G96" s="0" t="s">
        <v>3695</v>
      </c>
    </row>
    <row customHeight="1" ht="11.25">
      <c r="A97" s="0" t="s">
        <v>16</v>
      </c>
      <c r="B97" s="0" t="s">
        <v>110</v>
      </c>
      <c r="C97" s="0" t="s">
        <v>3682</v>
      </c>
      <c r="D97" s="0" t="s">
        <v>3696</v>
      </c>
      <c r="E97" s="0" t="s">
        <v>3697</v>
      </c>
      <c r="F97" s="0" t="s">
        <v>3537</v>
      </c>
      <c r="G97" s="0" t="s">
        <v>3698</v>
      </c>
    </row>
    <row customHeight="1" ht="11.25">
      <c r="A98" s="0" t="s">
        <v>16</v>
      </c>
      <c r="B98" s="0" t="s">
        <v>110</v>
      </c>
      <c r="C98" s="0" t="s">
        <v>3682</v>
      </c>
      <c r="D98" s="0" t="s">
        <v>114</v>
      </c>
      <c r="E98" s="0" t="s">
        <v>115</v>
      </c>
      <c r="F98" s="0" t="s">
        <v>3516</v>
      </c>
      <c r="G98" s="0" t="s">
        <v>113</v>
      </c>
    </row>
    <row customHeight="1" ht="11.25">
      <c r="A99" s="0" t="s">
        <v>16</v>
      </c>
      <c r="B99" s="0" t="s">
        <v>3699</v>
      </c>
      <c r="C99" s="0" t="s">
        <v>3700</v>
      </c>
      <c r="D99" s="0" t="s">
        <v>3699</v>
      </c>
      <c r="E99" s="0" t="s">
        <v>3700</v>
      </c>
      <c r="F99" s="0" t="s">
        <v>3504</v>
      </c>
      <c r="G99" s="0" t="s">
        <v>3701</v>
      </c>
    </row>
    <row customHeight="1" ht="11.25">
      <c r="A100" s="0" t="s">
        <v>16</v>
      </c>
      <c r="B100" s="0" t="s">
        <v>168</v>
      </c>
      <c r="C100" s="0" t="s">
        <v>3702</v>
      </c>
      <c r="D100" s="0" t="s">
        <v>169</v>
      </c>
      <c r="E100" s="0" t="s">
        <v>170</v>
      </c>
      <c r="F100" s="0" t="s">
        <v>3516</v>
      </c>
      <c r="G100" s="0" t="s">
        <v>167</v>
      </c>
    </row>
    <row customHeight="1" ht="11.25">
      <c r="A101" s="0" t="s">
        <v>16</v>
      </c>
      <c r="B101" s="0" t="s">
        <v>168</v>
      </c>
      <c r="C101" s="0" t="s">
        <v>3702</v>
      </c>
      <c r="D101" s="0" t="s">
        <v>3703</v>
      </c>
      <c r="E101" s="0" t="s">
        <v>3704</v>
      </c>
      <c r="F101" s="0" t="s">
        <v>3516</v>
      </c>
      <c r="G101" s="0" t="s">
        <v>3705</v>
      </c>
    </row>
    <row customHeight="1" ht="11.25">
      <c r="A102" s="0" t="s">
        <v>16</v>
      </c>
      <c r="B102" s="0" t="s">
        <v>168</v>
      </c>
      <c r="C102" s="0" t="s">
        <v>3702</v>
      </c>
      <c r="D102" s="0" t="s">
        <v>3706</v>
      </c>
      <c r="E102" s="0" t="s">
        <v>3707</v>
      </c>
      <c r="F102" s="0" t="s">
        <v>3516</v>
      </c>
      <c r="G102" s="0" t="s">
        <v>3708</v>
      </c>
    </row>
    <row customHeight="1" ht="11.25">
      <c r="A103" s="0" t="s">
        <v>16</v>
      </c>
      <c r="B103" s="0" t="s">
        <v>168</v>
      </c>
      <c r="C103" s="0" t="s">
        <v>3702</v>
      </c>
      <c r="D103" s="0" t="s">
        <v>3709</v>
      </c>
      <c r="E103" s="0" t="s">
        <v>3710</v>
      </c>
      <c r="F103" s="0" t="s">
        <v>3516</v>
      </c>
      <c r="G103" s="0" t="s">
        <v>3711</v>
      </c>
    </row>
    <row customHeight="1" ht="11.25">
      <c r="A104" s="0" t="s">
        <v>16</v>
      </c>
      <c r="B104" s="0" t="s">
        <v>168</v>
      </c>
      <c r="C104" s="0" t="s">
        <v>3702</v>
      </c>
      <c r="D104" s="0" t="s">
        <v>168</v>
      </c>
      <c r="E104" s="0" t="s">
        <v>3702</v>
      </c>
      <c r="F104" s="0" t="s">
        <v>3517</v>
      </c>
      <c r="G104" s="0" t="s">
        <v>3712</v>
      </c>
    </row>
    <row customHeight="1" ht="11.25">
      <c r="A105" s="0" t="s">
        <v>16</v>
      </c>
      <c r="B105" s="0" t="s">
        <v>168</v>
      </c>
      <c r="C105" s="0" t="s">
        <v>3702</v>
      </c>
      <c r="D105" s="0" t="s">
        <v>3713</v>
      </c>
      <c r="E105" s="0" t="s">
        <v>3714</v>
      </c>
      <c r="F105" s="0" t="s">
        <v>3516</v>
      </c>
      <c r="G105" s="0" t="s">
        <v>3715</v>
      </c>
    </row>
    <row customHeight="1" ht="11.25">
      <c r="A106" s="0" t="s">
        <v>16</v>
      </c>
      <c r="B106" s="0" t="s">
        <v>3716</v>
      </c>
      <c r="C106" s="0" t="s">
        <v>3717</v>
      </c>
      <c r="D106" s="0" t="s">
        <v>3716</v>
      </c>
      <c r="E106" s="0" t="s">
        <v>3717</v>
      </c>
      <c r="F106" s="0" t="s">
        <v>3507</v>
      </c>
      <c r="G106" s="0" t="s">
        <v>3718</v>
      </c>
    </row>
    <row customHeight="1" ht="11.25">
      <c r="A107" s="0" t="s">
        <v>16</v>
      </c>
      <c r="B107" s="0" t="s">
        <v>118</v>
      </c>
      <c r="C107" s="0" t="s">
        <v>119</v>
      </c>
      <c r="D107" s="0" t="s">
        <v>118</v>
      </c>
      <c r="E107" s="0" t="s">
        <v>119</v>
      </c>
      <c r="F107" s="0" t="s">
        <v>3507</v>
      </c>
      <c r="G107" s="0" t="s">
        <v>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F7B25-71CB-2D1F-C4D8-4E898AAC17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4321</v>
      </c>
      <c r="B1" s="839" t="s">
        <v>4322</v>
      </c>
      <c r="C1" s="839" t="s">
        <v>1500</v>
      </c>
    </row>
    <row customHeight="1" ht="11.25">
      <c r="A2" s="839">
        <v>4189678</v>
      </c>
      <c r="B2" s="839" t="s">
        <v>4323</v>
      </c>
      <c r="C2" s="839" t="s">
        <v>4324</v>
      </c>
    </row>
    <row customHeight="1" ht="11.25">
      <c r="A3" s="839">
        <v>4190415</v>
      </c>
      <c r="B3" s="839" t="s">
        <v>4325</v>
      </c>
      <c r="C3" s="839" t="s">
        <v>4324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48764-2936-5988-8292-CD3E96403D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4326</v>
      </c>
      <c r="B1" s="167" t="s">
        <v>4327</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9F6F3-229D-FFEA-6CA8-B76A2CA63A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4328</v>
      </c>
      <c r="B1" s="0" t="b">
        <v>1</v>
      </c>
    </row>
    <row customHeight="1" ht="11.25">
      <c r="A2" s="0" t="s">
        <v>4329</v>
      </c>
      <c r="B2" s="0" t="b">
        <v>0</v>
      </c>
    </row>
    <row customHeight="1" ht="11.25">
      <c r="A3" s="0" t="s">
        <v>4330</v>
      </c>
      <c r="B3" s="0" t="b">
        <v>0</v>
      </c>
    </row>
    <row customHeight="1" ht="11.25">
      <c r="A4" s="0" t="s">
        <v>4331</v>
      </c>
      <c r="B4" s="0" t="b">
        <v>1</v>
      </c>
    </row>
    <row customHeight="1" ht="11.25">
      <c r="A5" s="0" t="s">
        <v>4332</v>
      </c>
      <c r="B5" s="0" t="b">
        <v>0</v>
      </c>
    </row>
    <row customHeight="1" ht="11.25">
      <c r="A6" s="0" t="s">
        <v>4333</v>
      </c>
      <c r="B6" s="0" t="b">
        <v>0</v>
      </c>
    </row>
    <row customHeight="1" ht="11.25">
      <c r="A7" s="0" t="s">
        <v>4334</v>
      </c>
      <c r="B7" s="0" t="b">
        <v>0</v>
      </c>
    </row>
    <row customHeight="1" ht="11.25">
      <c r="A8" s="0" t="s">
        <v>4335</v>
      </c>
      <c r="B8" s="0" t="b">
        <v>0</v>
      </c>
    </row>
    <row customHeight="1" ht="11.25">
      <c r="A9" s="0" t="s">
        <v>4336</v>
      </c>
      <c r="B9" s="0" t="b">
        <v>0</v>
      </c>
    </row>
    <row customHeight="1" ht="11.25">
      <c r="A10" s="0" t="s">
        <v>4337</v>
      </c>
      <c r="B10" s="0" t="b">
        <v>1</v>
      </c>
    </row>
    <row customHeight="1" ht="11.25">
      <c r="A11" s="0" t="s">
        <v>4338</v>
      </c>
      <c r="B11" s="0" t="b">
        <v>0</v>
      </c>
    </row>
    <row customHeight="1" ht="11.25">
      <c r="A12" s="0" t="s">
        <v>4339</v>
      </c>
      <c r="B12" s="0" t="b">
        <v>0</v>
      </c>
    </row>
    <row customHeight="1" ht="11.25">
      <c r="A13" s="0" t="s">
        <v>4340</v>
      </c>
      <c r="B13" s="0" t="b">
        <v>0</v>
      </c>
    </row>
    <row customHeight="1" ht="11.25">
      <c r="A14" s="0" t="s">
        <v>4341</v>
      </c>
      <c r="B14" s="0" t="b">
        <v>0</v>
      </c>
    </row>
    <row customHeight="1" ht="11.25">
      <c r="A15" s="0" t="s">
        <v>4342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6AF73-A072-18B8-AF2E-20914C1273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4D2C4-B748-5058-FA43-CD3BB43563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4343</v>
      </c>
      <c r="B1" s="71" t="s">
        <v>4344</v>
      </c>
    </row>
    <row customHeight="1" ht="11.25">
      <c r="A2" s="68" t="s">
        <v>4345</v>
      </c>
      <c r="B2" s="68" t="s">
        <v>4346</v>
      </c>
    </row>
    <row customHeight="1" ht="11.25">
      <c r="A3" s="68" t="s">
        <v>4347</v>
      </c>
      <c r="B3" s="68" t="s">
        <v>4348</v>
      </c>
    </row>
    <row customHeight="1" ht="11.25">
      <c r="A4" s="68" t="s">
        <v>4349</v>
      </c>
      <c r="B4" s="68" t="s">
        <v>4350</v>
      </c>
    </row>
    <row customHeight="1" ht="11.25">
      <c r="A5" s="68" t="s">
        <v>4351</v>
      </c>
      <c r="B5" s="68" t="s">
        <v>4352</v>
      </c>
    </row>
    <row customHeight="1" ht="11.25">
      <c r="A6" s="68" t="s">
        <v>4353</v>
      </c>
      <c r="B6" s="68" t="s">
        <v>4354</v>
      </c>
    </row>
    <row customHeight="1" ht="11.25">
      <c r="A7" s="68" t="s">
        <v>4355</v>
      </c>
      <c r="B7" s="68" t="s">
        <v>4356</v>
      </c>
    </row>
    <row customHeight="1" ht="11.25">
      <c r="A8" s="68" t="s">
        <v>4357</v>
      </c>
      <c r="B8" s="68" t="s">
        <v>4358</v>
      </c>
    </row>
    <row customHeight="1" ht="11.25">
      <c r="A9" s="68" t="s">
        <v>4359</v>
      </c>
      <c r="B9" s="68" t="s">
        <v>4360</v>
      </c>
    </row>
    <row customHeight="1" ht="11.25">
      <c r="A10" s="68" t="s">
        <v>4361</v>
      </c>
      <c r="B10" s="68" t="s">
        <v>4362</v>
      </c>
    </row>
    <row customHeight="1" ht="11.25">
      <c r="A11" s="68" t="s">
        <v>4363</v>
      </c>
      <c r="B11" s="68" t="s">
        <v>4364</v>
      </c>
    </row>
    <row customHeight="1" ht="11.25">
      <c r="A12" s="68" t="s">
        <v>4365</v>
      </c>
      <c r="B12" s="68" t="s">
        <v>4366</v>
      </c>
    </row>
    <row customHeight="1" ht="11.25">
      <c r="A13" s="68" t="s">
        <v>4367</v>
      </c>
      <c r="B13" s="68" t="s">
        <v>4368</v>
      </c>
    </row>
    <row customHeight="1" ht="11.25">
      <c r="A14" s="68" t="s">
        <v>4369</v>
      </c>
      <c r="B14" s="68" t="s">
        <v>4370</v>
      </c>
    </row>
    <row customHeight="1" ht="11.25">
      <c r="A15" s="68" t="s">
        <v>4371</v>
      </c>
      <c r="B15" s="68" t="s">
        <v>4372</v>
      </c>
    </row>
    <row customHeight="1" ht="11.25">
      <c r="A16" s="68" t="s">
        <v>4373</v>
      </c>
      <c r="B16" s="68" t="s">
        <v>4374</v>
      </c>
    </row>
    <row customHeight="1" ht="11.25">
      <c r="A17" s="68" t="s">
        <v>4375</v>
      </c>
      <c r="B17" s="68" t="s">
        <v>4376</v>
      </c>
    </row>
    <row customHeight="1" ht="11.25">
      <c r="A18" s="68" t="s">
        <v>4377</v>
      </c>
      <c r="B18" s="68" t="s">
        <v>4378</v>
      </c>
    </row>
    <row customHeight="1" ht="11.25">
      <c r="A19" s="68" t="s">
        <v>4379</v>
      </c>
      <c r="B19" s="68" t="s">
        <v>4380</v>
      </c>
    </row>
    <row customHeight="1" ht="11.25">
      <c r="A20" s="68" t="s">
        <v>4381</v>
      </c>
      <c r="B20" s="68" t="s">
        <v>4382</v>
      </c>
    </row>
    <row customHeight="1" ht="11.25">
      <c r="A21" s="68" t="s">
        <v>4383</v>
      </c>
      <c r="B21" s="68" t="s">
        <v>4384</v>
      </c>
    </row>
    <row customHeight="1" ht="11.25">
      <c r="A22" s="68" t="s">
        <v>4385</v>
      </c>
      <c r="B22" s="68" t="s">
        <v>4386</v>
      </c>
    </row>
    <row customHeight="1" ht="11.25">
      <c r="A23" s="68" t="s">
        <v>4387</v>
      </c>
      <c r="B23" s="68" t="s">
        <v>4388</v>
      </c>
    </row>
    <row customHeight="1" ht="11.25">
      <c r="A24" s="68" t="s">
        <v>4389</v>
      </c>
      <c r="B24" s="68" t="s">
        <v>4390</v>
      </c>
    </row>
    <row customHeight="1" ht="11.25">
      <c r="A25" s="68" t="s">
        <v>4391</v>
      </c>
      <c r="B25" s="68" t="s">
        <v>4392</v>
      </c>
    </row>
    <row customHeight="1" ht="11.25">
      <c r="A26" s="68" t="s">
        <v>4393</v>
      </c>
      <c r="B26" s="68" t="s">
        <v>4394</v>
      </c>
    </row>
    <row customHeight="1" ht="11.25">
      <c r="A27" s="68" t="s">
        <v>4395</v>
      </c>
      <c r="B27" s="68" t="s">
        <v>4396</v>
      </c>
    </row>
    <row customHeight="1" ht="11.25">
      <c r="A28" s="68" t="s">
        <v>4397</v>
      </c>
      <c r="B28" s="68" t="s">
        <v>4398</v>
      </c>
    </row>
    <row customHeight="1" ht="11.25">
      <c r="A29" s="68" t="s">
        <v>4399</v>
      </c>
      <c r="B29" s="68" t="s">
        <v>4400</v>
      </c>
    </row>
    <row customHeight="1" ht="11.25">
      <c r="A30" s="68" t="s">
        <v>4401</v>
      </c>
      <c r="B30" s="68" t="s">
        <v>4402</v>
      </c>
    </row>
    <row customHeight="1" ht="11.25">
      <c r="A31" s="68" t="s">
        <v>4403</v>
      </c>
      <c r="B31" s="68" t="s">
        <v>4404</v>
      </c>
    </row>
    <row customHeight="1" ht="11.25">
      <c r="A32" s="68" t="s">
        <v>4405</v>
      </c>
      <c r="B32" s="68" t="s">
        <v>4406</v>
      </c>
    </row>
    <row customHeight="1" ht="11.25">
      <c r="A33" s="68" t="s">
        <v>4407</v>
      </c>
      <c r="B33" s="68" t="s">
        <v>4408</v>
      </c>
    </row>
    <row customHeight="1" ht="11.25">
      <c r="A34" s="68" t="s">
        <v>4409</v>
      </c>
      <c r="B34" s="68" t="s">
        <v>4410</v>
      </c>
    </row>
    <row customHeight="1" ht="11.25">
      <c r="A35" s="68" t="s">
        <v>4411</v>
      </c>
      <c r="B35" s="68" t="s">
        <v>4412</v>
      </c>
    </row>
    <row customHeight="1" ht="11.25">
      <c r="A36" s="68" t="s">
        <v>4413</v>
      </c>
      <c r="B36" s="68" t="s">
        <v>4414</v>
      </c>
    </row>
    <row customHeight="1" ht="11.25">
      <c r="A37" s="68" t="s">
        <v>4415</v>
      </c>
      <c r="B37" s="68" t="s">
        <v>4416</v>
      </c>
    </row>
    <row customHeight="1" ht="11.25">
      <c r="A38" s="68" t="s">
        <v>4417</v>
      </c>
      <c r="B38" s="68" t="s">
        <v>4418</v>
      </c>
    </row>
    <row customHeight="1" ht="11.25">
      <c r="A39" s="68" t="s">
        <v>4419</v>
      </c>
      <c r="B39" s="68" t="s">
        <v>4420</v>
      </c>
    </row>
    <row customHeight="1" ht="11.25">
      <c r="A40" s="68" t="s">
        <v>4421</v>
      </c>
      <c r="B40" s="68" t="s">
        <v>4422</v>
      </c>
    </row>
    <row customHeight="1" ht="11.25">
      <c r="A41" s="68" t="s">
        <v>4423</v>
      </c>
      <c r="B41" s="68" t="s">
        <v>4424</v>
      </c>
    </row>
    <row customHeight="1" ht="11.25">
      <c r="A42" s="68" t="s">
        <v>4425</v>
      </c>
      <c r="B42" s="68" t="s">
        <v>4426</v>
      </c>
    </row>
    <row customHeight="1" ht="11.25">
      <c r="A43" s="68" t="s">
        <v>4427</v>
      </c>
      <c r="B43" s="68" t="s">
        <v>4428</v>
      </c>
    </row>
    <row customHeight="1" ht="11.25">
      <c r="A44" s="68" t="s">
        <v>4429</v>
      </c>
      <c r="B44" s="68" t="s">
        <v>4430</v>
      </c>
    </row>
    <row customHeight="1" ht="11.25">
      <c r="A45" s="68" t="s">
        <v>4431</v>
      </c>
      <c r="B45" s="68" t="s">
        <v>4432</v>
      </c>
    </row>
    <row customHeight="1" ht="11.25">
      <c r="A46" s="68" t="s">
        <v>4433</v>
      </c>
      <c r="B46" s="68" t="s">
        <v>4434</v>
      </c>
    </row>
    <row customHeight="1" ht="11.25">
      <c r="A47" s="68" t="s">
        <v>4435</v>
      </c>
      <c r="B47" s="68" t="s">
        <v>4436</v>
      </c>
    </row>
    <row customHeight="1" ht="11.25">
      <c r="A48" s="68" t="s">
        <v>4437</v>
      </c>
      <c r="B48" s="68" t="s">
        <v>4438</v>
      </c>
    </row>
    <row customHeight="1" ht="11.25">
      <c r="A49" s="68" t="s">
        <v>4439</v>
      </c>
      <c r="B49" s="68" t="s">
        <v>4440</v>
      </c>
    </row>
    <row customHeight="1" ht="11.25">
      <c r="A50" s="68" t="s">
        <v>4441</v>
      </c>
      <c r="B50" s="68" t="s">
        <v>4442</v>
      </c>
    </row>
    <row customHeight="1" ht="11.25">
      <c r="A51" s="68" t="s">
        <v>4443</v>
      </c>
      <c r="B51" s="68" t="s">
        <v>4444</v>
      </c>
    </row>
    <row customHeight="1" ht="11.25">
      <c r="A52" s="68" t="s">
        <v>4445</v>
      </c>
      <c r="B52" s="68" t="s">
        <v>4446</v>
      </c>
    </row>
    <row customHeight="1" ht="11.25">
      <c r="A53" s="68" t="s">
        <v>4447</v>
      </c>
      <c r="B53" s="68" t="s">
        <v>4448</v>
      </c>
    </row>
    <row customHeight="1" ht="11.25">
      <c r="A54" s="68" t="s">
        <v>4449</v>
      </c>
      <c r="B54" s="68" t="s">
        <v>4450</v>
      </c>
    </row>
    <row customHeight="1" ht="11.25">
      <c r="A55" s="68" t="s">
        <v>4451</v>
      </c>
      <c r="B55" s="68" t="s">
        <v>4452</v>
      </c>
    </row>
    <row customHeight="1" ht="11.25">
      <c r="A56" s="68" t="s">
        <v>4453</v>
      </c>
      <c r="B56" s="68" t="s">
        <v>4454</v>
      </c>
    </row>
    <row customHeight="1" ht="11.25">
      <c r="A57" s="68" t="s">
        <v>4455</v>
      </c>
      <c r="B57" s="68" t="s">
        <v>4456</v>
      </c>
    </row>
    <row customHeight="1" ht="11.25">
      <c r="A58" s="68" t="s">
        <v>4457</v>
      </c>
      <c r="B58" s="68" t="s">
        <v>4458</v>
      </c>
    </row>
    <row customHeight="1" ht="11.25">
      <c r="A59" s="68" t="s">
        <v>4459</v>
      </c>
      <c r="B59" s="68" t="s">
        <v>4460</v>
      </c>
    </row>
    <row customHeight="1" ht="11.25">
      <c r="A60" s="68" t="s">
        <v>4461</v>
      </c>
      <c r="B60" s="68" t="s">
        <v>4462</v>
      </c>
    </row>
    <row customHeight="1" ht="11.25">
      <c r="A61" s="68"/>
      <c r="B61" s="68" t="s">
        <v>4463</v>
      </c>
    </row>
    <row customHeight="1" ht="11.25">
      <c r="A62" s="68"/>
      <c r="B62" s="68" t="s">
        <v>4464</v>
      </c>
    </row>
    <row customHeight="1" ht="11.25">
      <c r="A63" s="68"/>
      <c r="B63" s="68" t="s">
        <v>4465</v>
      </c>
    </row>
    <row customHeight="1" ht="11.25">
      <c r="A64" s="68"/>
      <c r="B64" s="68" t="s">
        <v>4466</v>
      </c>
    </row>
    <row customHeight="1" ht="11.25">
      <c r="A65" s="68"/>
      <c r="B65" s="68" t="s">
        <v>4467</v>
      </c>
    </row>
    <row customHeight="1" ht="11.25">
      <c r="A66" s="68"/>
      <c r="B66" s="68" t="s">
        <v>4468</v>
      </c>
    </row>
    <row customHeight="1" ht="11.25">
      <c r="A67" s="68"/>
      <c r="B67" s="68" t="s">
        <v>4469</v>
      </c>
    </row>
    <row customHeight="1" ht="11.25">
      <c r="A68" s="68"/>
      <c r="B68" s="68" t="s">
        <v>4470</v>
      </c>
    </row>
    <row customHeight="1" ht="11.25">
      <c r="A69" s="68"/>
      <c r="B69" s="68" t="s">
        <v>4471</v>
      </c>
    </row>
    <row customHeight="1" ht="11.25">
      <c r="A70" s="68"/>
      <c r="B70" s="68" t="s">
        <v>4472</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88688-E018-5284-1C08-790CF5F8C8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4473</v>
      </c>
    </row>
    <row customHeight="1" ht="90">
      <c r="B2" s="98" t="s">
        <v>4474</v>
      </c>
    </row>
    <row customHeight="1" ht="67.5">
      <c r="B3" s="98" t="s">
        <v>4475</v>
      </c>
    </row>
    <row customHeight="1" ht="33.75">
      <c r="B4" s="98" t="s">
        <v>4476</v>
      </c>
    </row>
    <row customHeight="1" ht="11.25">
      <c r="B5" s="98" t="s">
        <v>4477</v>
      </c>
    </row>
    <row customHeight="1" ht="22.5">
      <c r="B6" s="98" t="s">
        <v>4478</v>
      </c>
    </row>
    <row customHeight="1" ht="22.5">
      <c r="B7" s="98" t="s">
        <v>4479</v>
      </c>
    </row>
    <row customHeight="1" ht="22.5">
      <c r="B8" s="98" t="s">
        <v>4480</v>
      </c>
    </row>
    <row customHeight="1" ht="22.5">
      <c r="B9" s="98" t="s">
        <v>4481</v>
      </c>
    </row>
    <row customHeight="1" ht="56.25">
      <c r="B10" s="98" t="s">
        <v>4482</v>
      </c>
    </row>
    <row customHeight="1" ht="12.75">
      <c r="B11" s="163" t="s">
        <v>4483</v>
      </c>
    </row>
    <row customHeight="1" ht="11.25">
      <c r="B12" s="97" t="s">
        <v>4484</v>
      </c>
    </row>
    <row customHeight="1" ht="22.5">
      <c r="B13" s="98" t="s">
        <v>4485</v>
      </c>
    </row>
    <row customHeight="1" ht="67.5">
      <c r="B14" s="98" t="s">
        <v>4486</v>
      </c>
    </row>
    <row customHeight="1" ht="22.5">
      <c r="B15" s="98" t="s">
        <v>4487</v>
      </c>
    </row>
    <row customHeight="1" ht="11.25">
      <c r="B16" s="97" t="s">
        <v>4488</v>
      </c>
      <c r="D16" s="104"/>
    </row>
    <row customHeight="1" ht="33.75">
      <c r="B17" s="98" t="s">
        <v>4489</v>
      </c>
    </row>
    <row customHeight="1" ht="33.75">
      <c r="B18" s="98" t="s">
        <v>4490</v>
      </c>
    </row>
    <row customHeight="1" ht="11.25">
      <c r="B19" s="98" t="s">
        <v>4491</v>
      </c>
    </row>
    <row customHeight="1" ht="33.75">
      <c r="B20" s="98" t="s">
        <v>4492</v>
      </c>
    </row>
    <row customHeight="1" ht="11.25">
      <c r="B21" s="97" t="s">
        <v>4493</v>
      </c>
    </row>
    <row customHeight="1" ht="11.25">
      <c r="B22" s="98" t="s">
        <v>4494</v>
      </c>
    </row>
    <row r="24" customHeight="1" ht="22.5">
      <c r="B24" s="165" t="s">
        <v>4495</v>
      </c>
    </row>
    <row r="26" customHeight="1" ht="11.25">
      <c r="B26" s="97" t="s">
        <v>4496</v>
      </c>
    </row>
    <row customHeight="1" ht="22.5">
      <c r="B27" s="164" t="s">
        <v>534</v>
      </c>
    </row>
    <row customHeight="1" ht="56.25">
      <c r="B28" s="164" t="s">
        <v>4497</v>
      </c>
    </row>
    <row customHeight="1" ht="11.25">
      <c r="B29" s="214" t="s">
        <v>4498</v>
      </c>
    </row>
    <row customHeight="1" ht="22.5">
      <c r="B30" s="164" t="s">
        <v>4499</v>
      </c>
    </row>
    <row r="32" customHeight="1" ht="11.25">
      <c r="A32" s="192"/>
      <c r="B32" s="193" t="s">
        <v>4500</v>
      </c>
    </row>
    <row customHeight="1" ht="14.25">
      <c r="A33" s="194">
        <v>1</v>
      </c>
      <c r="B33" s="195" t="s">
        <v>4501</v>
      </c>
    </row>
    <row customHeight="1" ht="14.25">
      <c r="A34" s="194">
        <v>2</v>
      </c>
      <c r="B34" s="195" t="s">
        <v>4502</v>
      </c>
    </row>
    <row customHeight="1" ht="11.25">
      <c r="B35" s="193" t="s">
        <v>4503</v>
      </c>
    </row>
    <row customHeight="1" ht="11.25">
      <c r="B36" s="195" t="s">
        <v>4504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